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80" yWindow="60" windowWidth="19130" windowHeight="1176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Seg1">[1]Inputs!$D$33</definedName>
    <definedName name="_Seg2">[1]Inputs!$D$34</definedName>
    <definedName name="_Seg3">[1]Inputs!$D$35</definedName>
    <definedName name="AccRateChgDate">[1]Inputs!$D$13</definedName>
    <definedName name="APPinitialRate">[1]Inputs!$K$8</definedName>
    <definedName name="AppMortTable">[1]Inputs!$D$30</definedName>
    <definedName name="AppMortYr">[1]Inputs!$D$29</definedName>
    <definedName name="APPpctFloor">[1]Inputs!$K$7</definedName>
    <definedName name="colorDepth">'[1]Model Setup'!$C$15</definedName>
    <definedName name="dataIndex">[1]Grid!$AT$4</definedName>
    <definedName name="DC_Contrib">[1]Inputs!$I$23</definedName>
    <definedName name="DCInvAsm">[1]Inputs!$I$25</definedName>
    <definedName name="DCTierTable">'[1]KZ Checks'!$BC$1:$BD$6</definedName>
    <definedName name="EEContribRate">[1]Inputs!$D$23</definedName>
    <definedName name="Equity">[1]Grid!$J$13</definedName>
    <definedName name="FreezeToggle">[1]Inputs!$I$5</definedName>
    <definedName name="Graph">[1]Grid!$I$2</definedName>
    <definedName name="Grid_DC_Contrib">[1]Grid!$S$11</definedName>
    <definedName name="Grid_DC_Conversion">[1]Grid!$S$12</definedName>
    <definedName name="Grid_FrzDate">[1]Grid!$N$5</definedName>
    <definedName name="Grid_FrzToggle">[1]Grid!$N$6</definedName>
    <definedName name="HistReturns">[1]Grid!$J$11</definedName>
    <definedName name="HistYear">[1]Grid!$J$12</definedName>
    <definedName name="HoursAssump">[1]Inputs!$D$25</definedName>
    <definedName name="InitialUnitAccrual">[1]Inputs!$I$9</definedName>
    <definedName name="InitialValperUnit">[1]Inputs!$I$8</definedName>
    <definedName name="Invasm">[1]Inputs!$I$11</definedName>
    <definedName name="Invasm_Grid">[1]Grid!$S$13</definedName>
    <definedName name="MaxCompInc">'[2]IRS Limits'!$C$3</definedName>
    <definedName name="NRA">[1]Inputs!$I$24</definedName>
    <definedName name="PayLower">'[1]Model Setup'!$F$30</definedName>
    <definedName name="paywidth">'[1]Model Setup'!$F$34</definedName>
    <definedName name="PctNew">[1]Inputs!$D$20</definedName>
    <definedName name="PctOld">[1]Inputs!$D$19</definedName>
    <definedName name="PlanFreezeDate">[1]Inputs!$I$4</definedName>
    <definedName name="PlanRetAssump">[1]Inputs!$I$13</definedName>
    <definedName name="RetAge">[1]Grid!$AO$2</definedName>
    <definedName name="RetDefLookup">[1]Inputs!$G$29:$J$32</definedName>
    <definedName name="ReturnCap">[1]Inputs!$I$12</definedName>
    <definedName name="SalAssump">[1]Inputs!$D$15</definedName>
    <definedName name="SalSx">[1]Inputs!$D$11</definedName>
    <definedName name="SalSx2010">[1]Inputs!$D$10</definedName>
    <definedName name="servLimt">'[1]Model Setup'!$F$32</definedName>
    <definedName name="SvcOrSalary">[1]Grid!$S$2</definedName>
    <definedName name="valDate">[1]Inputs!$D$4</definedName>
    <definedName name="VDBFloorAccrual">[1]Inputs!$I$7</definedName>
  </definedNames>
  <calcPr calcId="145621"/>
  <fileRecoveryPr repairLoad="1"/>
</workbook>
</file>

<file path=xl/calcChain.xml><?xml version="1.0" encoding="utf-8"?>
<calcChain xmlns="http://schemas.openxmlformats.org/spreadsheetml/2006/main">
  <c r="AI8" i="1" l="1"/>
  <c r="AG8" i="1"/>
  <c r="F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E7" i="2"/>
  <c r="D7" i="2"/>
  <c r="AI31" i="1"/>
  <c r="AI32" i="1" s="1"/>
  <c r="F26" i="1" s="1"/>
  <c r="Z37" i="1"/>
  <c r="Z42" i="1"/>
  <c r="Z41" i="1"/>
  <c r="Z40" i="1"/>
  <c r="Z49" i="1"/>
  <c r="Z48" i="1"/>
  <c r="Z47" i="1"/>
  <c r="Z46" i="1"/>
  <c r="Z45" i="1"/>
  <c r="Z44" i="1"/>
  <c r="Z43" i="1"/>
  <c r="AG16" i="1"/>
  <c r="AG17" i="1" s="1"/>
  <c r="AG18" i="1" s="1"/>
  <c r="C21" i="1" s="1"/>
  <c r="C20" i="1"/>
  <c r="F24" i="1"/>
  <c r="AK8" i="1" l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K70" i="1" s="1"/>
  <c r="AK71" i="1" s="1"/>
  <c r="AK72" i="1" s="1"/>
  <c r="AK73" i="1" s="1"/>
  <c r="AK74" i="1" s="1"/>
  <c r="AK75" i="1" s="1"/>
  <c r="AK76" i="1" s="1"/>
  <c r="AK77" i="1" s="1"/>
  <c r="AE10" i="1"/>
  <c r="AH10" i="1" s="1"/>
  <c r="AH11" i="1" s="1"/>
  <c r="AG10" i="1" l="1"/>
  <c r="AG11" i="1"/>
  <c r="AA50" i="1"/>
  <c r="AG12" i="1" l="1"/>
  <c r="AA49" i="1"/>
  <c r="AA48" i="1"/>
  <c r="AA47" i="1"/>
  <c r="AA46" i="1"/>
  <c r="AA45" i="1"/>
  <c r="AA44" i="1"/>
  <c r="AA43" i="1"/>
  <c r="AA42" i="1"/>
  <c r="AA41" i="1"/>
  <c r="R6" i="1" l="1"/>
  <c r="S6" i="1" s="1"/>
  <c r="X50" i="1" l="1"/>
  <c r="Y50" i="1" s="1"/>
  <c r="R7" i="1"/>
  <c r="S7" i="1" s="1"/>
  <c r="Z50" i="1" l="1"/>
  <c r="X51" i="1"/>
  <c r="Y51" i="1" s="1"/>
  <c r="Z51" i="1" s="1"/>
  <c r="R8" i="1"/>
  <c r="S8" i="1" s="1"/>
  <c r="AA51" i="1" l="1"/>
  <c r="X52" i="1"/>
  <c r="Y52" i="1" s="1"/>
  <c r="R9" i="1"/>
  <c r="S9" i="1" s="1"/>
  <c r="Z52" i="1" l="1"/>
  <c r="AA52" i="1"/>
  <c r="X53" i="1"/>
  <c r="Y53" i="1" s="1"/>
  <c r="R10" i="1"/>
  <c r="S10" i="1" s="1"/>
  <c r="Z53" i="1" l="1"/>
  <c r="AA53" i="1"/>
  <c r="X54" i="1"/>
  <c r="Y54" i="1" s="1"/>
  <c r="Z54" i="1" s="1"/>
  <c r="R11" i="1"/>
  <c r="S11" i="1" s="1"/>
  <c r="AA54" i="1" l="1"/>
  <c r="T11" i="1"/>
  <c r="X55" i="1"/>
  <c r="Y55" i="1" s="1"/>
  <c r="R12" i="1"/>
  <c r="S12" i="1" s="1"/>
  <c r="Z55" i="1" l="1"/>
  <c r="AA55" i="1"/>
  <c r="T12" i="1"/>
  <c r="X56" i="1"/>
  <c r="Y56" i="1" s="1"/>
  <c r="R13" i="1"/>
  <c r="S13" i="1" s="1"/>
  <c r="Z56" i="1" l="1"/>
  <c r="AA56" i="1"/>
  <c r="T13" i="1"/>
  <c r="X57" i="1"/>
  <c r="Y57" i="1" s="1"/>
  <c r="Z57" i="1" s="1"/>
  <c r="R14" i="1"/>
  <c r="S14" i="1" s="1"/>
  <c r="AA57" i="1" l="1"/>
  <c r="T14" i="1"/>
  <c r="X58" i="1"/>
  <c r="Y58" i="1" s="1"/>
  <c r="R15" i="1"/>
  <c r="S15" i="1" s="1"/>
  <c r="Z58" i="1" l="1"/>
  <c r="AA58" i="1"/>
  <c r="T15" i="1"/>
  <c r="R16" i="1"/>
  <c r="X59" i="1"/>
  <c r="Y59" i="1" s="1"/>
  <c r="Z59" i="1" l="1"/>
  <c r="AA59" i="1"/>
  <c r="R17" i="1"/>
  <c r="R18" i="1" s="1"/>
  <c r="S16" i="1"/>
  <c r="T16" i="1" s="1"/>
  <c r="X60" i="1"/>
  <c r="Y60" i="1" s="1"/>
  <c r="Z60" i="1" l="1"/>
  <c r="AA60" i="1"/>
  <c r="S17" i="1"/>
  <c r="S18" i="1" s="1"/>
  <c r="X61" i="1"/>
  <c r="Y61" i="1" s="1"/>
  <c r="R19" i="1"/>
  <c r="Z61" i="1" l="1"/>
  <c r="AA61" i="1"/>
  <c r="S19" i="1"/>
  <c r="T17" i="1"/>
  <c r="T18" i="1"/>
  <c r="X62" i="1"/>
  <c r="Y62" i="1" s="1"/>
  <c r="R20" i="1"/>
  <c r="Z62" i="1" l="1"/>
  <c r="S20" i="1"/>
  <c r="AA62" i="1"/>
  <c r="T19" i="1"/>
  <c r="X63" i="1"/>
  <c r="Y63" i="1" s="1"/>
  <c r="R21" i="1"/>
  <c r="Z63" i="1" l="1"/>
  <c r="S21" i="1"/>
  <c r="AA63" i="1"/>
  <c r="T20" i="1"/>
  <c r="X64" i="1"/>
  <c r="Y64" i="1" s="1"/>
  <c r="R22" i="1"/>
  <c r="Z64" i="1" l="1"/>
  <c r="S22" i="1"/>
  <c r="AA64" i="1"/>
  <c r="T21" i="1"/>
  <c r="X65" i="1"/>
  <c r="Y65" i="1" s="1"/>
  <c r="R23" i="1"/>
  <c r="Z65" i="1" l="1"/>
  <c r="S23" i="1"/>
  <c r="AA65" i="1"/>
  <c r="T22" i="1"/>
  <c r="X66" i="1"/>
  <c r="Y66" i="1" s="1"/>
  <c r="R24" i="1"/>
  <c r="S24" i="1" s="1"/>
  <c r="Z66" i="1" l="1"/>
  <c r="AA66" i="1"/>
  <c r="T23" i="1"/>
  <c r="X67" i="1"/>
  <c r="Y67" i="1" s="1"/>
  <c r="R25" i="1"/>
  <c r="S25" i="1" s="1"/>
  <c r="Z67" i="1" l="1"/>
  <c r="AA67" i="1"/>
  <c r="T24" i="1"/>
  <c r="X68" i="1"/>
  <c r="Y68" i="1" s="1"/>
  <c r="R26" i="1"/>
  <c r="S26" i="1" s="1"/>
  <c r="Z68" i="1" l="1"/>
  <c r="AA68" i="1"/>
  <c r="T25" i="1"/>
  <c r="T26" i="1"/>
  <c r="X69" i="1"/>
  <c r="Y69" i="1" s="1"/>
  <c r="R27" i="1"/>
  <c r="S27" i="1" s="1"/>
  <c r="Z69" i="1" l="1"/>
  <c r="AA69" i="1"/>
  <c r="T27" i="1"/>
  <c r="X70" i="1"/>
  <c r="Y70" i="1" s="1"/>
  <c r="R28" i="1"/>
  <c r="S28" i="1" s="1"/>
  <c r="Z70" i="1" l="1"/>
  <c r="AA70" i="1"/>
  <c r="T28" i="1"/>
  <c r="X71" i="1"/>
  <c r="Y71" i="1" s="1"/>
  <c r="R29" i="1"/>
  <c r="S29" i="1" s="1"/>
  <c r="Z71" i="1" l="1"/>
  <c r="AA71" i="1"/>
  <c r="T29" i="1"/>
  <c r="X72" i="1"/>
  <c r="Y72" i="1" s="1"/>
  <c r="Z72" i="1" s="1"/>
  <c r="R30" i="1"/>
  <c r="S30" i="1" s="1"/>
  <c r="AA72" i="1" l="1"/>
  <c r="T30" i="1"/>
  <c r="X73" i="1"/>
  <c r="Y73" i="1" s="1"/>
  <c r="R31" i="1"/>
  <c r="S31" i="1" s="1"/>
  <c r="Z73" i="1" l="1"/>
  <c r="AA73" i="1"/>
  <c r="T31" i="1"/>
  <c r="X74" i="1"/>
  <c r="Y74" i="1" s="1"/>
  <c r="Z74" i="1" s="1"/>
  <c r="R32" i="1"/>
  <c r="S32" i="1" s="1"/>
  <c r="AA74" i="1" l="1"/>
  <c r="T32" i="1"/>
  <c r="X75" i="1"/>
  <c r="Y75" i="1" s="1"/>
  <c r="R33" i="1"/>
  <c r="S33" i="1" s="1"/>
  <c r="Z75" i="1" l="1"/>
  <c r="AA75" i="1"/>
  <c r="T33" i="1"/>
  <c r="X76" i="1"/>
  <c r="Y76" i="1" s="1"/>
  <c r="Z76" i="1" s="1"/>
  <c r="R34" i="1"/>
  <c r="S34" i="1" l="1"/>
  <c r="T34" i="1" s="1"/>
  <c r="AA76" i="1"/>
  <c r="X77" i="1"/>
  <c r="Y77" i="1" s="1"/>
  <c r="Z77" i="1" s="1"/>
  <c r="R35" i="1"/>
  <c r="S35" i="1" l="1"/>
  <c r="T35" i="1" s="1"/>
  <c r="AA77" i="1"/>
  <c r="X78" i="1"/>
  <c r="Y78" i="1" s="1"/>
  <c r="Z78" i="1" s="1"/>
  <c r="R36" i="1"/>
  <c r="S36" i="1" l="1"/>
  <c r="T36" i="1" s="1"/>
  <c r="AA78" i="1"/>
  <c r="X79" i="1"/>
  <c r="Y79" i="1" s="1"/>
  <c r="Z79" i="1" s="1"/>
  <c r="R37" i="1"/>
  <c r="S37" i="1" s="1"/>
  <c r="AA79" i="1" l="1"/>
  <c r="T37" i="1"/>
  <c r="X80" i="1"/>
  <c r="R38" i="1"/>
  <c r="S38" i="1" s="1"/>
  <c r="Y80" i="1" l="1"/>
  <c r="Z80" i="1" s="1"/>
  <c r="AA80" i="1"/>
  <c r="T38" i="1"/>
  <c r="X81" i="1"/>
  <c r="Y81" i="1" s="1"/>
  <c r="R39" i="1"/>
  <c r="S39" i="1" s="1"/>
  <c r="Z81" i="1" l="1"/>
  <c r="AA81" i="1"/>
  <c r="T39" i="1"/>
  <c r="X82" i="1"/>
  <c r="Y82" i="1" s="1"/>
  <c r="Z82" i="1" s="1"/>
  <c r="D19" i="1" s="1"/>
  <c r="R40" i="1"/>
  <c r="S40" i="1" s="1"/>
  <c r="AA82" i="1" l="1"/>
  <c r="T40" i="1"/>
  <c r="X83" i="1"/>
  <c r="Y83" i="1" s="1"/>
  <c r="Z83" i="1" s="1"/>
  <c r="R41" i="1"/>
  <c r="S41" i="1" s="1"/>
  <c r="AA83" i="1" l="1"/>
  <c r="T41" i="1"/>
  <c r="X84" i="1"/>
  <c r="Y84" i="1" s="1"/>
  <c r="Z84" i="1" s="1"/>
  <c r="R42" i="1"/>
  <c r="S42" i="1" s="1"/>
  <c r="AA84" i="1" l="1"/>
  <c r="T42" i="1"/>
  <c r="X85" i="1"/>
  <c r="Y85" i="1" s="1"/>
  <c r="Z85" i="1" s="1"/>
  <c r="R43" i="1"/>
  <c r="S43" i="1" s="1"/>
  <c r="AA85" i="1" l="1"/>
  <c r="T43" i="1"/>
  <c r="X86" i="1"/>
  <c r="Y86" i="1" s="1"/>
  <c r="Z86" i="1" s="1"/>
  <c r="R44" i="1"/>
  <c r="S44" i="1" s="1"/>
  <c r="AA86" i="1" l="1"/>
  <c r="T44" i="1"/>
  <c r="X87" i="1"/>
  <c r="Y87" i="1" s="1"/>
  <c r="Z87" i="1" s="1"/>
  <c r="R45" i="1"/>
  <c r="S45" i="1" s="1"/>
  <c r="AA87" i="1" l="1"/>
  <c r="T45" i="1"/>
  <c r="X88" i="1"/>
  <c r="Y88" i="1" s="1"/>
  <c r="Z88" i="1" s="1"/>
  <c r="R46" i="1"/>
  <c r="AA88" i="1" l="1"/>
  <c r="S46" i="1"/>
  <c r="R47" i="1"/>
  <c r="X89" i="1"/>
  <c r="Y89" i="1" s="1"/>
  <c r="Z89" i="1" s="1"/>
  <c r="T46" i="1" l="1"/>
  <c r="R48" i="1"/>
  <c r="R49" i="1" s="1"/>
  <c r="R50" i="1" s="1"/>
  <c r="R51" i="1" s="1"/>
  <c r="R52" i="1" s="1"/>
  <c r="R53" i="1" s="1"/>
  <c r="S47" i="1"/>
  <c r="AA89" i="1"/>
  <c r="X90" i="1"/>
  <c r="Y90" i="1" s="1"/>
  <c r="Z90" i="1" s="1"/>
  <c r="T47" i="1" l="1"/>
  <c r="S48" i="1"/>
  <c r="R54" i="1"/>
  <c r="AA90" i="1"/>
  <c r="X91" i="1"/>
  <c r="Y91" i="1" s="1"/>
  <c r="Z91" i="1" s="1"/>
  <c r="S49" i="1" l="1"/>
  <c r="T48" i="1"/>
  <c r="AA91" i="1"/>
  <c r="R55" i="1"/>
  <c r="X92" i="1"/>
  <c r="Y92" i="1" s="1"/>
  <c r="Z92" i="1" s="1"/>
  <c r="S50" i="1" l="1"/>
  <c r="S51" i="1" s="1"/>
  <c r="T49" i="1"/>
  <c r="AA92" i="1"/>
  <c r="R56" i="1"/>
  <c r="X93" i="1"/>
  <c r="Y93" i="1" s="1"/>
  <c r="Z93" i="1" s="1"/>
  <c r="T50" i="1" l="1"/>
  <c r="S52" i="1"/>
  <c r="T51" i="1"/>
  <c r="AA93" i="1"/>
  <c r="R57" i="1"/>
  <c r="X94" i="1"/>
  <c r="Y94" i="1" s="1"/>
  <c r="Z94" i="1" s="1"/>
  <c r="T52" i="1" l="1"/>
  <c r="S53" i="1"/>
  <c r="R58" i="1"/>
  <c r="AA94" i="1"/>
  <c r="X95" i="1"/>
  <c r="Y95" i="1" s="1"/>
  <c r="Z95" i="1" s="1"/>
  <c r="S54" i="1" l="1"/>
  <c r="T53" i="1"/>
  <c r="AL58" i="1"/>
  <c r="AM58" i="1" s="1"/>
  <c r="AA95" i="1"/>
  <c r="R59" i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X96" i="1"/>
  <c r="Y96" i="1" s="1"/>
  <c r="Z96" i="1" s="1"/>
  <c r="R72" i="1" l="1"/>
  <c r="T54" i="1"/>
  <c r="S55" i="1"/>
  <c r="AL59" i="1"/>
  <c r="AM59" i="1" s="1"/>
  <c r="AA96" i="1"/>
  <c r="X97" i="1"/>
  <c r="Y97" i="1" s="1"/>
  <c r="Z97" i="1" s="1"/>
  <c r="R73" i="1" l="1"/>
  <c r="S56" i="1"/>
  <c r="T55" i="1"/>
  <c r="AL60" i="1"/>
  <c r="AM60" i="1" s="1"/>
  <c r="AA97" i="1"/>
  <c r="X98" i="1"/>
  <c r="Y98" i="1" s="1"/>
  <c r="Z98" i="1" s="1"/>
  <c r="R74" i="1" l="1"/>
  <c r="T56" i="1"/>
  <c r="S57" i="1"/>
  <c r="AL61" i="1"/>
  <c r="AM61" i="1" s="1"/>
  <c r="AA98" i="1"/>
  <c r="X99" i="1"/>
  <c r="Y99" i="1" s="1"/>
  <c r="Z99" i="1" s="1"/>
  <c r="R75" i="1" l="1"/>
  <c r="T57" i="1"/>
  <c r="S58" i="1"/>
  <c r="AL62" i="1"/>
  <c r="AM62" i="1" s="1"/>
  <c r="AA99" i="1"/>
  <c r="X100" i="1"/>
  <c r="Y100" i="1" s="1"/>
  <c r="Z100" i="1" s="1"/>
  <c r="R76" i="1" l="1"/>
  <c r="T58" i="1"/>
  <c r="S59" i="1"/>
  <c r="AL63" i="1"/>
  <c r="AM63" i="1" s="1"/>
  <c r="AA100" i="1"/>
  <c r="X101" i="1"/>
  <c r="Y101" i="1" s="1"/>
  <c r="Z101" i="1" s="1"/>
  <c r="T59" i="1" l="1"/>
  <c r="R77" i="1"/>
  <c r="T76" i="1"/>
  <c r="S60" i="1"/>
  <c r="AL64" i="1"/>
  <c r="AM64" i="1" s="1"/>
  <c r="AA101" i="1"/>
  <c r="X102" i="1"/>
  <c r="Y102" i="1" s="1"/>
  <c r="Z102" i="1" s="1"/>
  <c r="T77" i="1" l="1"/>
  <c r="R78" i="1"/>
  <c r="S61" i="1"/>
  <c r="T60" i="1"/>
  <c r="AL65" i="1"/>
  <c r="AM65" i="1" s="1"/>
  <c r="AA102" i="1"/>
  <c r="X103" i="1"/>
  <c r="Y103" i="1" s="1"/>
  <c r="Z103" i="1" s="1"/>
  <c r="AL37" i="1" l="1"/>
  <c r="AM37" i="1" s="1"/>
  <c r="AL27" i="1"/>
  <c r="AM27" i="1" s="1"/>
  <c r="R79" i="1"/>
  <c r="T78" i="1"/>
  <c r="T61" i="1"/>
  <c r="S62" i="1"/>
  <c r="AL66" i="1"/>
  <c r="AM66" i="1" s="1"/>
  <c r="AA103" i="1"/>
  <c r="X104" i="1"/>
  <c r="Y104" i="1" s="1"/>
  <c r="Z104" i="1" s="1"/>
  <c r="AL28" i="1" l="1"/>
  <c r="AM28" i="1" s="1"/>
  <c r="R80" i="1"/>
  <c r="T79" i="1"/>
  <c r="AL38" i="1"/>
  <c r="AM38" i="1" s="1"/>
  <c r="T62" i="1"/>
  <c r="S63" i="1"/>
  <c r="AL29" i="1" s="1"/>
  <c r="AM29" i="1" s="1"/>
  <c r="AL67" i="1"/>
  <c r="AM67" i="1" s="1"/>
  <c r="AA104" i="1"/>
  <c r="R81" i="1" l="1"/>
  <c r="T80" i="1"/>
  <c r="T63" i="1"/>
  <c r="AL9" i="1"/>
  <c r="AM9" i="1" s="1"/>
  <c r="AL39" i="1"/>
  <c r="AM39" i="1" s="1"/>
  <c r="S64" i="1"/>
  <c r="AL68" i="1"/>
  <c r="AM68" i="1" s="1"/>
  <c r="AL10" i="1" l="1"/>
  <c r="AM10" i="1" s="1"/>
  <c r="AL30" i="1"/>
  <c r="AM30" i="1" s="1"/>
  <c r="T81" i="1"/>
  <c r="R82" i="1"/>
  <c r="AL40" i="1"/>
  <c r="AM40" i="1" s="1"/>
  <c r="S65" i="1"/>
  <c r="T64" i="1"/>
  <c r="AL69" i="1"/>
  <c r="AM69" i="1" s="1"/>
  <c r="AL11" i="1" l="1"/>
  <c r="AM11" i="1" s="1"/>
  <c r="AL31" i="1"/>
  <c r="AM31" i="1" s="1"/>
  <c r="R83" i="1"/>
  <c r="T82" i="1"/>
  <c r="AL41" i="1"/>
  <c r="AM41" i="1" s="1"/>
  <c r="S66" i="1"/>
  <c r="T65" i="1"/>
  <c r="AL70" i="1"/>
  <c r="AM70" i="1" s="1"/>
  <c r="AL12" i="1" l="1"/>
  <c r="AM12" i="1" s="1"/>
  <c r="AL32" i="1"/>
  <c r="AM32" i="1" s="1"/>
  <c r="R84" i="1"/>
  <c r="T83" i="1"/>
  <c r="AL42" i="1"/>
  <c r="AM42" i="1" s="1"/>
  <c r="S67" i="1"/>
  <c r="AL52" i="1"/>
  <c r="AM52" i="1" s="1"/>
  <c r="T66" i="1"/>
  <c r="AL71" i="1"/>
  <c r="AM71" i="1" s="1"/>
  <c r="AL33" i="1" l="1"/>
  <c r="AM33" i="1" s="1"/>
  <c r="AL18" i="1"/>
  <c r="AM18" i="1" s="1"/>
  <c r="AL13" i="1"/>
  <c r="AM13" i="1" s="1"/>
  <c r="T84" i="1"/>
  <c r="R85" i="1"/>
  <c r="AL43" i="1"/>
  <c r="AM43" i="1" s="1"/>
  <c r="T67" i="1"/>
  <c r="S68" i="1"/>
  <c r="AL53" i="1"/>
  <c r="AM53" i="1" s="1"/>
  <c r="AL72" i="1"/>
  <c r="AM72" i="1" s="1"/>
  <c r="AL19" i="1" l="1"/>
  <c r="AM19" i="1" s="1"/>
  <c r="AL14" i="1"/>
  <c r="AM14" i="1" s="1"/>
  <c r="AL34" i="1"/>
  <c r="AM34" i="1" s="1"/>
  <c r="R86" i="1"/>
  <c r="T85" i="1"/>
  <c r="AL48" i="1"/>
  <c r="AM48" i="1" s="1"/>
  <c r="AL44" i="1"/>
  <c r="AM44" i="1" s="1"/>
  <c r="S69" i="1"/>
  <c r="AL54" i="1"/>
  <c r="AM54" i="1" s="1"/>
  <c r="T68" i="1"/>
  <c r="AL73" i="1"/>
  <c r="AM73" i="1" s="1"/>
  <c r="AL35" i="1" l="1"/>
  <c r="AM35" i="1" s="1"/>
  <c r="AL20" i="1"/>
  <c r="AM20" i="1" s="1"/>
  <c r="T86" i="1"/>
  <c r="R87" i="1"/>
  <c r="T69" i="1"/>
  <c r="AL15" i="1"/>
  <c r="AM15" i="1" s="1"/>
  <c r="AL49" i="1"/>
  <c r="AM49" i="1" s="1"/>
  <c r="AL45" i="1"/>
  <c r="AM45" i="1" s="1"/>
  <c r="S70" i="1"/>
  <c r="AL55" i="1"/>
  <c r="AM55" i="1" s="1"/>
  <c r="AL74" i="1"/>
  <c r="AM74" i="1" s="1"/>
  <c r="AL21" i="1" l="1"/>
  <c r="AM21" i="1" s="1"/>
  <c r="AL16" i="1"/>
  <c r="AM16" i="1" s="1"/>
  <c r="AL36" i="1"/>
  <c r="AM36" i="1" s="1"/>
  <c r="R88" i="1"/>
  <c r="T88" i="1" s="1"/>
  <c r="T87" i="1"/>
  <c r="AL50" i="1"/>
  <c r="AM50" i="1" s="1"/>
  <c r="AL46" i="1"/>
  <c r="AM46" i="1" s="1"/>
  <c r="S71" i="1"/>
  <c r="AL56" i="1"/>
  <c r="AM56" i="1" s="1"/>
  <c r="T70" i="1"/>
  <c r="AL75" i="1"/>
  <c r="AM75" i="1" s="1"/>
  <c r="AL17" i="1" l="1"/>
  <c r="AM17" i="1" s="1"/>
  <c r="AL22" i="1"/>
  <c r="AM22" i="1" s="1"/>
  <c r="T71" i="1"/>
  <c r="AL51" i="1"/>
  <c r="AM51" i="1" s="1"/>
  <c r="AL47" i="1"/>
  <c r="AM47" i="1" s="1"/>
  <c r="S72" i="1"/>
  <c r="AL23" i="1" s="1"/>
  <c r="AM23" i="1" s="1"/>
  <c r="AL57" i="1"/>
  <c r="AM57" i="1" s="1"/>
  <c r="AL77" i="1"/>
  <c r="AM77" i="1" s="1"/>
  <c r="AL76" i="1"/>
  <c r="AM76" i="1" s="1"/>
  <c r="T72" i="1" l="1"/>
  <c r="S73" i="1"/>
  <c r="T73" i="1" s="1"/>
  <c r="AL8" i="1"/>
  <c r="AM8" i="1" s="1"/>
  <c r="AN8" i="1" s="1"/>
  <c r="AN9" i="1" s="1"/>
  <c r="AN10" i="1" s="1"/>
  <c r="AN11" i="1" s="1"/>
  <c r="AN12" i="1" s="1"/>
  <c r="AN13" i="1" s="1"/>
  <c r="AN14" i="1" s="1"/>
  <c r="AN15" i="1" s="1"/>
  <c r="AN16" i="1" s="1"/>
  <c r="AN17" i="1" s="1"/>
  <c r="AN18" i="1" s="1"/>
  <c r="AN19" i="1" s="1"/>
  <c r="AN20" i="1" s="1"/>
  <c r="AN21" i="1" s="1"/>
  <c r="AN22" i="1" s="1"/>
  <c r="AN23" i="1" s="1"/>
  <c r="S74" i="1" l="1"/>
  <c r="AL24" i="1"/>
  <c r="AM24" i="1" s="1"/>
  <c r="AN24" i="1" s="1"/>
  <c r="S75" i="1" l="1"/>
  <c r="AL25" i="1"/>
  <c r="AM25" i="1" s="1"/>
  <c r="AN25" i="1" s="1"/>
  <c r="T74" i="1"/>
  <c r="S76" i="1" l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AL26" i="1"/>
  <c r="AM26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3" i="1" s="1"/>
  <c r="AN44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AN70" i="1" s="1"/>
  <c r="AN71" i="1" s="1"/>
  <c r="AN72" i="1" s="1"/>
  <c r="AN73" i="1" s="1"/>
  <c r="AN74" i="1" s="1"/>
  <c r="AN75" i="1" s="1"/>
  <c r="AN76" i="1" s="1"/>
  <c r="AN77" i="1" s="1"/>
  <c r="F31" i="1" s="1"/>
  <c r="T75" i="1"/>
  <c r="D18" i="1" s="1"/>
  <c r="F18" i="1" l="1"/>
  <c r="D22" i="1"/>
  <c r="F22" i="1" s="1"/>
  <c r="F23" i="1" l="1"/>
  <c r="F25" i="1" s="1"/>
  <c r="F27" i="1" l="1"/>
  <c r="H27" i="1" s="1"/>
  <c r="F28" i="1"/>
</calcChain>
</file>

<file path=xl/sharedStrings.xml><?xml version="1.0" encoding="utf-8"?>
<sst xmlns="http://schemas.openxmlformats.org/spreadsheetml/2006/main" count="107" uniqueCount="72">
  <si>
    <t>per year</t>
  </si>
  <si>
    <t>Pay</t>
  </si>
  <si>
    <t>Pay Projection</t>
  </si>
  <si>
    <t>Age</t>
  </si>
  <si>
    <t>Average</t>
  </si>
  <si>
    <t>Year</t>
  </si>
  <si>
    <t>SSWB</t>
  </si>
  <si>
    <t>Cov Comp</t>
  </si>
  <si>
    <t>Future SSWB increases</t>
  </si>
  <si>
    <t xml:space="preserve">- </t>
  </si>
  <si>
    <t>2016 Pay (top scale)</t>
  </si>
  <si>
    <t>Final Average Earnings</t>
  </si>
  <si>
    <t>Age At Retirement</t>
  </si>
  <si>
    <t>NRA</t>
  </si>
  <si>
    <t>Today look-up NRA</t>
  </si>
  <si>
    <t>Pay increases</t>
  </si>
  <si>
    <t>Covered Compensation</t>
  </si>
  <si>
    <t>years</t>
  </si>
  <si>
    <t>Service (limited to 30 years)</t>
  </si>
  <si>
    <t xml:space="preserve">Assumptions:  </t>
  </si>
  <si>
    <t>DC PLAN</t>
  </si>
  <si>
    <t>Co. Cont.</t>
  </si>
  <si>
    <t>This should be the</t>
  </si>
  <si>
    <t>amount lost by giving</t>
  </si>
  <si>
    <t>up the current plan</t>
  </si>
  <si>
    <t>Earnings assumed:</t>
  </si>
  <si>
    <t>Age 2016</t>
  </si>
  <si>
    <t>FAE 2016</t>
  </si>
  <si>
    <t>Annuity</t>
  </si>
  <si>
    <t>PPA16LS</t>
  </si>
  <si>
    <t>Mortality</t>
  </si>
  <si>
    <t>Interest</t>
  </si>
  <si>
    <t xml:space="preserve">   CovComp (Covered Compensation) is average of the Social Security Wage Base (SSWB) over 35 years before retirement</t>
  </si>
  <si>
    <t>low</t>
  </si>
  <si>
    <t>high</t>
  </si>
  <si>
    <t>annuity</t>
  </si>
  <si>
    <t>Future DC</t>
  </si>
  <si>
    <t>Cont</t>
  </si>
  <si>
    <t>Cumm</t>
  </si>
  <si>
    <t>Lump Sum CARP</t>
  </si>
  <si>
    <t xml:space="preserve">CARP </t>
  </si>
  <si>
    <t>PARTICIPANT</t>
  </si>
  <si>
    <t>Annuity Interest Rate</t>
  </si>
  <si>
    <t>(for LS)</t>
  </si>
  <si>
    <t>Accumulation of Company Contributions given up in exchange for participation in CARP</t>
  </si>
  <si>
    <r>
      <t>CARP Formula  = (</t>
    </r>
    <r>
      <rPr>
        <b/>
        <sz val="14"/>
        <color rgb="FFFFC000"/>
        <rFont val="Arial"/>
        <family val="2"/>
      </rPr>
      <t xml:space="preserve">FAE </t>
    </r>
    <r>
      <rPr>
        <b/>
        <sz val="14"/>
        <color rgb="FFFFFF00"/>
        <rFont val="Arial"/>
        <family val="2"/>
      </rPr>
      <t xml:space="preserve">x 1.19% +  MAX(0, </t>
    </r>
    <r>
      <rPr>
        <b/>
        <sz val="14"/>
        <color rgb="FFFFC000"/>
        <rFont val="Arial"/>
        <family val="2"/>
      </rPr>
      <t>FAE</t>
    </r>
    <r>
      <rPr>
        <b/>
        <sz val="14"/>
        <color rgb="FFFFFF00"/>
        <rFont val="Arial"/>
        <family val="2"/>
      </rPr>
      <t xml:space="preserve"> - </t>
    </r>
    <r>
      <rPr>
        <b/>
        <sz val="14"/>
        <color rgb="FFFF6699"/>
        <rFont val="Arial"/>
        <family val="2"/>
      </rPr>
      <t>CovComp</t>
    </r>
    <r>
      <rPr>
        <b/>
        <sz val="14"/>
        <color rgb="FFFFFF00"/>
        <rFont val="Arial"/>
        <family val="2"/>
      </rPr>
      <t xml:space="preserve">) x 0.45%) x </t>
    </r>
    <r>
      <rPr>
        <b/>
        <sz val="14"/>
        <color rgb="FF00B0F0"/>
        <rFont val="Arial"/>
        <family val="2"/>
      </rPr>
      <t>MIN(30, Service)</t>
    </r>
    <r>
      <rPr>
        <b/>
        <sz val="14"/>
        <color rgb="FFFFFF00"/>
        <rFont val="Arial"/>
        <family val="2"/>
      </rPr>
      <t xml:space="preserve"> / 12</t>
    </r>
  </si>
  <si>
    <t>SUM</t>
  </si>
  <si>
    <t>Pay Numbers</t>
  </si>
  <si>
    <t>x 1.19% =</t>
  </si>
  <si>
    <t>x 0.45% =</t>
  </si>
  <si>
    <t>x</t>
  </si>
  <si>
    <t>per month</t>
  </si>
  <si>
    <t xml:space="preserve">   Retiring in </t>
  </si>
  <si>
    <t xml:space="preserve">   Soc Sec Ret Age</t>
  </si>
  <si>
    <t>SSNRA</t>
  </si>
  <si>
    <t>Year of Birth</t>
  </si>
  <si>
    <t>SSNRAge</t>
  </si>
  <si>
    <t>CYB</t>
  </si>
  <si>
    <t>CARP Accrued Benefit at later of 65 and retirement</t>
  </si>
  <si>
    <t>Accruals</t>
  </si>
  <si>
    <t>per year of benefit service</t>
  </si>
  <si>
    <t>ERFs</t>
  </si>
  <si>
    <t>ERF</t>
  </si>
  <si>
    <t>Ret Age</t>
  </si>
  <si>
    <t>Column</t>
  </si>
  <si>
    <t>CARP</t>
  </si>
  <si>
    <t>÷ 12 =</t>
  </si>
  <si>
    <t>FAE less CovComp</t>
  </si>
  <si>
    <t xml:space="preserve">  Retirement Benefit</t>
  </si>
  <si>
    <t xml:space="preserve">  Factor for early retirement </t>
  </si>
  <si>
    <t>=ROUND(Ann_SL($C$4,$B8,C$7,MAX(C$7,65)),4)</t>
  </si>
  <si>
    <t>Year of SSNR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</si>
</sst>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[Green]0"/>
    <numFmt numFmtId="166" formatCode="[Blue]#,##0.00_);[Green]\(#,##0.00\)"/>
    <numFmt numFmtId="167" formatCode="[Blue]#,##0.000_);[Green]\(#,##0.000\)"/>
    <numFmt numFmtId="168" formatCode="#,##0.000_);[Red]\(#,##0.000\)"/>
    <numFmt numFmtId="169" formatCode="#,##0.0000_);[Red]\(#,##0.0000\)"/>
    <numFmt numFmtId="170" formatCode="#,##0.00000_);[Red]\(#,##0.00000\)"/>
    <numFmt numFmtId="171" formatCode="#,##0.000000_);[Red]\(#,##0.000000"/>
    <numFmt numFmtId="172" formatCode="0.0%"/>
    <numFmt numFmtId="173" formatCode="0.0000"/>
    <numFmt numFmtId="174" formatCode="_(&quot;$&quot;* #,##0_);_(&quot;$&quot;* \(#,##0\);_(&quot;$&quot;* &quot;-&quot;??_);_(@_)"/>
  </numFmts>
  <fonts count="31"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Univers (WN)"/>
    </font>
    <font>
      <sz val="12"/>
      <name val="CG Times (WN)"/>
    </font>
    <font>
      <sz val="10"/>
      <name val="CG Times (WN)"/>
    </font>
    <font>
      <b/>
      <sz val="12"/>
      <color rgb="FFFFFF0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u/>
      <sz val="12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theme="7" tint="0.59996337778862885"/>
      <name val="Arial"/>
      <family val="2"/>
    </font>
    <font>
      <b/>
      <sz val="16"/>
      <color rgb="FFFFFF00"/>
      <name val="Arial"/>
      <family val="2"/>
    </font>
    <font>
      <b/>
      <u val="singleAccounting"/>
      <sz val="16"/>
      <color rgb="FFFFFF00"/>
      <name val="Arial"/>
      <family val="2"/>
    </font>
    <font>
      <b/>
      <sz val="16"/>
      <color theme="7" tint="0.59996337778862885"/>
      <name val="Arial"/>
      <family val="2"/>
    </font>
    <font>
      <b/>
      <u val="singleAccounting"/>
      <sz val="16"/>
      <color theme="7" tint="0.59996337778862885"/>
      <name val="Arial"/>
      <family val="2"/>
    </font>
    <font>
      <b/>
      <i/>
      <sz val="12"/>
      <color rgb="FFFFFFFF"/>
      <name val="Arial"/>
      <family val="2"/>
    </font>
    <font>
      <b/>
      <sz val="20"/>
      <color rgb="FFFFFFFF"/>
      <name val="Arial"/>
      <family val="2"/>
    </font>
    <font>
      <b/>
      <i/>
      <sz val="12"/>
      <color rgb="FFFF6699"/>
      <name val="Arial"/>
      <family val="2"/>
    </font>
    <font>
      <b/>
      <sz val="16"/>
      <color theme="0"/>
      <name val="Arial"/>
      <family val="2"/>
    </font>
    <font>
      <b/>
      <sz val="12"/>
      <color rgb="FFFFC000"/>
      <name val="Arial"/>
      <family val="2"/>
    </font>
    <font>
      <b/>
      <sz val="14"/>
      <color rgb="FFFFFF00"/>
      <name val="Arial"/>
      <family val="2"/>
    </font>
    <font>
      <b/>
      <sz val="14"/>
      <color rgb="FFFFC000"/>
      <name val="Arial"/>
      <family val="2"/>
    </font>
    <font>
      <b/>
      <sz val="14"/>
      <color rgb="FF00B0F0"/>
      <name val="Arial"/>
      <family val="2"/>
    </font>
    <font>
      <b/>
      <sz val="14"/>
      <color rgb="FFFF6699"/>
      <name val="Arial"/>
      <family val="2"/>
    </font>
    <font>
      <b/>
      <sz val="12"/>
      <color rgb="FFFF6699"/>
      <name val="Arial"/>
      <family val="2"/>
    </font>
    <font>
      <b/>
      <sz val="16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CDDEE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 style="thin">
        <color indexed="64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0"/>
      </bottom>
      <diagonal/>
    </border>
    <border>
      <left/>
      <right/>
      <top style="double">
        <color theme="0"/>
      </top>
      <bottom/>
      <diagonal/>
    </border>
  </borders>
  <cellStyleXfs count="1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14" fontId="5" fillId="0" borderId="0" applyFont="0" applyFill="0" applyBorder="0" applyAlignment="0" applyProtection="0"/>
    <xf numFmtId="165" fontId="6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0" fontId="8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Border="1"/>
    <xf numFmtId="6" fontId="2" fillId="3" borderId="1" xfId="0" applyNumberFormat="1" applyFont="1" applyFill="1" applyBorder="1"/>
    <xf numFmtId="9" fontId="2" fillId="3" borderId="1" xfId="0" applyNumberFormat="1" applyFont="1" applyFill="1" applyBorder="1"/>
    <xf numFmtId="0" fontId="1" fillId="2" borderId="0" xfId="0" applyFont="1" applyFill="1" applyBorder="1" applyAlignment="1">
      <alignment horizontal="right"/>
    </xf>
    <xf numFmtId="6" fontId="1" fillId="2" borderId="0" xfId="0" applyNumberFormat="1" applyFont="1" applyFill="1" applyBorder="1"/>
    <xf numFmtId="37" fontId="1" fillId="2" borderId="0" xfId="0" applyNumberFormat="1" applyFont="1" applyFill="1" applyBorder="1"/>
    <xf numFmtId="164" fontId="2" fillId="3" borderId="1" xfId="0" applyNumberFormat="1" applyFont="1" applyFill="1" applyBorder="1"/>
    <xf numFmtId="164" fontId="1" fillId="2" borderId="0" xfId="0" applyNumberFormat="1" applyFont="1" applyFill="1" applyBorder="1"/>
    <xf numFmtId="37" fontId="3" fillId="4" borderId="2" xfId="0" applyNumberFormat="1" applyFont="1" applyFill="1" applyBorder="1" applyAlignment="1">
      <alignment vertical="center"/>
    </xf>
    <xf numFmtId="37" fontId="1" fillId="2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>
      <alignment horizontal="right"/>
    </xf>
    <xf numFmtId="0" fontId="9" fillId="2" borderId="0" xfId="0" applyFont="1" applyFill="1" applyBorder="1"/>
    <xf numFmtId="6" fontId="11" fillId="2" borderId="0" xfId="0" applyNumberFormat="1" applyFont="1" applyFill="1" applyBorder="1"/>
    <xf numFmtId="37" fontId="12" fillId="0" borderId="1" xfId="0" applyNumberFormat="1" applyFont="1" applyFill="1" applyBorder="1"/>
    <xf numFmtId="0" fontId="1" fillId="2" borderId="0" xfId="0" quotePrefix="1" applyFont="1" applyFill="1" applyBorder="1"/>
    <xf numFmtId="0" fontId="15" fillId="2" borderId="0" xfId="0" applyFont="1" applyFill="1" applyBorder="1"/>
    <xf numFmtId="44" fontId="16" fillId="2" borderId="0" xfId="15" applyNumberFormat="1" applyFont="1" applyFill="1" applyBorder="1"/>
    <xf numFmtId="0" fontId="13" fillId="2" borderId="0" xfId="0" applyFont="1" applyFill="1" applyBorder="1" applyAlignment="1">
      <alignment horizontal="right"/>
    </xf>
    <xf numFmtId="44" fontId="16" fillId="2" borderId="0" xfId="0" applyNumberFormat="1" applyFont="1" applyFill="1" applyBorder="1"/>
    <xf numFmtId="44" fontId="17" fillId="2" borderId="0" xfId="0" applyNumberFormat="1" applyFont="1" applyFill="1" applyBorder="1"/>
    <xf numFmtId="0" fontId="9" fillId="2" borderId="0" xfId="0" applyFont="1" applyFill="1" applyBorder="1" applyAlignment="1">
      <alignment horizontal="right"/>
    </xf>
    <xf numFmtId="44" fontId="18" fillId="2" borderId="0" xfId="0" applyNumberFormat="1" applyFont="1" applyFill="1" applyBorder="1"/>
    <xf numFmtId="44" fontId="19" fillId="2" borderId="0" xfId="0" applyNumberFormat="1" applyFont="1" applyFill="1" applyBorder="1"/>
    <xf numFmtId="0" fontId="15" fillId="2" borderId="0" xfId="0" applyFont="1" applyFill="1" applyBorder="1" applyAlignment="1">
      <alignment horizontal="right"/>
    </xf>
    <xf numFmtId="44" fontId="18" fillId="2" borderId="0" xfId="15" applyNumberFormat="1" applyFont="1" applyFill="1" applyBorder="1"/>
    <xf numFmtId="6" fontId="18" fillId="2" borderId="0" xfId="0" applyNumberFormat="1" applyFont="1" applyFill="1" applyBorder="1"/>
    <xf numFmtId="0" fontId="21" fillId="2" borderId="0" xfId="0" applyFont="1" applyFill="1" applyBorder="1"/>
    <xf numFmtId="172" fontId="1" fillId="2" borderId="0" xfId="0" applyNumberFormat="1" applyFont="1" applyFill="1" applyBorder="1"/>
    <xf numFmtId="0" fontId="22" fillId="2" borderId="0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0" fontId="1" fillId="2" borderId="6" xfId="0" applyNumberFormat="1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74" fontId="23" fillId="2" borderId="0" xfId="15" applyNumberFormat="1" applyFont="1" applyFill="1" applyBorder="1"/>
    <xf numFmtId="174" fontId="16" fillId="2" borderId="0" xfId="15" applyNumberFormat="1" applyFont="1" applyFill="1" applyBorder="1"/>
    <xf numFmtId="174" fontId="18" fillId="2" borderId="0" xfId="15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10" fontId="2" fillId="3" borderId="19" xfId="0" applyNumberFormat="1" applyFont="1" applyFill="1" applyBorder="1"/>
    <xf numFmtId="0" fontId="22" fillId="2" borderId="15" xfId="0" applyFont="1" applyFill="1" applyBorder="1"/>
    <xf numFmtId="0" fontId="1" fillId="2" borderId="20" xfId="0" applyFont="1" applyFill="1" applyBorder="1"/>
    <xf numFmtId="0" fontId="13" fillId="2" borderId="12" xfId="0" applyFont="1" applyFill="1" applyBorder="1"/>
    <xf numFmtId="0" fontId="20" fillId="2" borderId="16" xfId="0" applyFont="1" applyFill="1" applyBorder="1"/>
    <xf numFmtId="10" fontId="2" fillId="3" borderId="21" xfId="0" applyNumberFormat="1" applyFont="1" applyFill="1" applyBorder="1"/>
    <xf numFmtId="0" fontId="25" fillId="2" borderId="0" xfId="0" applyFont="1" applyFill="1" applyBorder="1"/>
    <xf numFmtId="6" fontId="29" fillId="2" borderId="0" xfId="0" applyNumberFormat="1" applyFont="1" applyFill="1" applyBorder="1"/>
    <xf numFmtId="6" fontId="24" fillId="2" borderId="0" xfId="0" applyNumberFormat="1" applyFont="1" applyFill="1" applyBorder="1"/>
    <xf numFmtId="6" fontId="1" fillId="2" borderId="0" xfId="0" applyNumberFormat="1" applyFont="1" applyFill="1" applyBorder="1" applyAlignment="1">
      <alignment horizontal="right"/>
    </xf>
    <xf numFmtId="0" fontId="13" fillId="2" borderId="13" xfId="0" applyFont="1" applyFill="1" applyBorder="1"/>
    <xf numFmtId="41" fontId="30" fillId="2" borderId="22" xfId="0" applyNumberFormat="1" applyFont="1" applyFill="1" applyBorder="1"/>
    <xf numFmtId="42" fontId="16" fillId="2" borderId="0" xfId="15" applyNumberFormat="1" applyFont="1" applyFill="1" applyBorder="1"/>
    <xf numFmtId="6" fontId="14" fillId="2" borderId="0" xfId="0" applyNumberFormat="1" applyFont="1" applyFill="1" applyBorder="1"/>
    <xf numFmtId="0" fontId="3" fillId="4" borderId="1" xfId="0" applyFont="1" applyFill="1" applyBorder="1" applyAlignment="1">
      <alignment horizontal="center"/>
    </xf>
    <xf numFmtId="164" fontId="1" fillId="2" borderId="4" xfId="0" applyNumberFormat="1" applyFont="1" applyFill="1" applyBorder="1"/>
    <xf numFmtId="0" fontId="3" fillId="4" borderId="8" xfId="0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/>
    <xf numFmtId="10" fontId="1" fillId="2" borderId="7" xfId="0" applyNumberFormat="1" applyFont="1" applyFill="1" applyBorder="1"/>
    <xf numFmtId="10" fontId="1" fillId="2" borderId="0" xfId="0" applyNumberFormat="1" applyFont="1" applyFill="1" applyBorder="1"/>
    <xf numFmtId="9" fontId="1" fillId="2" borderId="0" xfId="0" applyNumberFormat="1" applyFont="1" applyFill="1" applyBorder="1"/>
    <xf numFmtId="173" fontId="1" fillId="2" borderId="0" xfId="0" quotePrefix="1" applyNumberFormat="1" applyFont="1" applyFill="1" applyBorder="1"/>
    <xf numFmtId="173" fontId="3" fillId="4" borderId="1" xfId="0" quotePrefix="1" applyNumberFormat="1" applyFont="1" applyFill="1" applyBorder="1"/>
    <xf numFmtId="164" fontId="1" fillId="2" borderId="5" xfId="0" applyNumberFormat="1" applyFont="1" applyFill="1" applyBorder="1"/>
    <xf numFmtId="6" fontId="23" fillId="2" borderId="23" xfId="15" applyNumberFormat="1" applyFont="1" applyFill="1" applyBorder="1"/>
  </cellXfs>
  <cellStyles count="16">
    <cellStyle name="Comma 2" xfId="2"/>
    <cellStyle name="Currency" xfId="15" builtinId="4"/>
    <cellStyle name="date" xfId="3"/>
    <cellStyle name="green" xfId="4"/>
    <cellStyle name="input2" xfId="5"/>
    <cellStyle name="input3" xfId="6"/>
    <cellStyle name="Normal" xfId="0" builtinId="0"/>
    <cellStyle name="Normal 2" xfId="1"/>
    <cellStyle name="Normal2" xfId="7"/>
    <cellStyle name="Normal3" xfId="8"/>
    <cellStyle name="Normal4" xfId="9"/>
    <cellStyle name="Normal5" xfId="10"/>
    <cellStyle name="Normal6" xfId="11"/>
    <cellStyle name="Percent 2" xfId="12"/>
    <cellStyle name="Percent1" xfId="13"/>
    <cellStyle name="Percent2" xfId="14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ardon/AppData/Local/Microsoft/Windows/Temporary%20Internet%20Files/Content.Outlook/QT8D4EAJ/NYT_Winners_APP_2012_v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kalwarski/AppData/Local/Microsoft/Windows/Temporary%20Internet%20Files/Content.Outlook/I2FLDP8D/CARP%20APP%20Benefit%20Estimator%20v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d"/>
      <sheetName val="Graph Data"/>
      <sheetName val="Model Setup"/>
      <sheetName val="Inputs"/>
      <sheetName val="Calcs"/>
      <sheetName val="DC"/>
      <sheetName val="APP"/>
      <sheetName val="KZ Checks"/>
      <sheetName val="RH APP"/>
      <sheetName val="Notes"/>
      <sheetName val="RETURN DEVELOPMENT"/>
      <sheetName val="Data Assumptions"/>
      <sheetName val="Benefit Definition"/>
      <sheetName val="VDB"/>
      <sheetName val="401(a)(17)"/>
    </sheetNames>
    <sheetDataSet>
      <sheetData sheetId="0" refreshError="1">
        <row r="2">
          <cell r="I2">
            <v>6</v>
          </cell>
          <cell r="S2" t="str">
            <v>Service</v>
          </cell>
          <cell r="AO2">
            <v>65</v>
          </cell>
        </row>
        <row r="4">
          <cell r="AT4">
            <v>6</v>
          </cell>
        </row>
        <row r="5">
          <cell r="N5">
            <v>40909</v>
          </cell>
        </row>
        <row r="6">
          <cell r="N6" t="str">
            <v>Yes</v>
          </cell>
        </row>
        <row r="11">
          <cell r="J11" t="str">
            <v>No</v>
          </cell>
          <cell r="S11">
            <v>0.03</v>
          </cell>
        </row>
        <row r="12">
          <cell r="J12">
            <v>1930</v>
          </cell>
          <cell r="S12">
            <v>4.4999999999999998E-2</v>
          </cell>
        </row>
        <row r="13">
          <cell r="J13">
            <v>0.2</v>
          </cell>
          <cell r="S13">
            <v>0.05</v>
          </cell>
        </row>
      </sheetData>
      <sheetData sheetId="1" refreshError="1"/>
      <sheetData sheetId="2" refreshError="1">
        <row r="15">
          <cell r="C15">
            <v>10</v>
          </cell>
        </row>
        <row r="30">
          <cell r="F30">
            <v>5</v>
          </cell>
        </row>
        <row r="32">
          <cell r="F32">
            <v>40</v>
          </cell>
        </row>
        <row r="34">
          <cell r="F34">
            <v>5</v>
          </cell>
        </row>
      </sheetData>
      <sheetData sheetId="3" refreshError="1">
        <row r="4">
          <cell r="D4">
            <v>40179</v>
          </cell>
          <cell r="I4">
            <v>40909</v>
          </cell>
        </row>
        <row r="5">
          <cell r="I5" t="str">
            <v>Y</v>
          </cell>
        </row>
        <row r="7">
          <cell r="I7">
            <v>1000</v>
          </cell>
          <cell r="K7">
            <v>0</v>
          </cell>
        </row>
        <row r="8">
          <cell r="I8">
            <v>10</v>
          </cell>
          <cell r="K8">
            <v>6.0000000000000001E-3</v>
          </cell>
        </row>
        <row r="9">
          <cell r="I9">
            <v>100</v>
          </cell>
        </row>
        <row r="10">
          <cell r="D10">
            <v>0.03</v>
          </cell>
        </row>
        <row r="11">
          <cell r="D11">
            <v>0.03</v>
          </cell>
          <cell r="I11">
            <v>0.05</v>
          </cell>
        </row>
        <row r="12">
          <cell r="I12">
            <v>0.1</v>
          </cell>
        </row>
        <row r="13">
          <cell r="D13">
            <v>37902</v>
          </cell>
          <cell r="I13">
            <v>0.05</v>
          </cell>
        </row>
        <row r="15">
          <cell r="D15">
            <v>80000</v>
          </cell>
        </row>
        <row r="19">
          <cell r="D19">
            <v>1.2500000000000001E-2</v>
          </cell>
        </row>
        <row r="20">
          <cell r="D20">
            <v>1.0999999999999999E-2</v>
          </cell>
        </row>
        <row r="23">
          <cell r="D23">
            <v>0.22</v>
          </cell>
          <cell r="I23">
            <v>0.03</v>
          </cell>
        </row>
        <row r="24">
          <cell r="I24">
            <v>65</v>
          </cell>
        </row>
        <row r="25">
          <cell r="D25">
            <v>1400</v>
          </cell>
          <cell r="I25">
            <v>0.05</v>
          </cell>
        </row>
        <row r="29">
          <cell r="D29">
            <v>2012</v>
          </cell>
          <cell r="G29">
            <v>2011</v>
          </cell>
          <cell r="I29">
            <v>5</v>
          </cell>
          <cell r="J29">
            <v>1</v>
          </cell>
        </row>
        <row r="30">
          <cell r="D30" t="str">
            <v>PPA12LS</v>
          </cell>
          <cell r="G30">
            <v>2012</v>
          </cell>
          <cell r="I30">
            <v>7</v>
          </cell>
          <cell r="J30">
            <v>2</v>
          </cell>
        </row>
        <row r="31">
          <cell r="G31">
            <v>2013</v>
          </cell>
          <cell r="I31">
            <v>9</v>
          </cell>
          <cell r="J31">
            <v>3</v>
          </cell>
        </row>
        <row r="32">
          <cell r="G32">
            <v>2014</v>
          </cell>
          <cell r="I32">
            <v>11</v>
          </cell>
          <cell r="J32">
            <v>4</v>
          </cell>
        </row>
        <row r="33">
          <cell r="D33">
            <v>4.4999999999999998E-2</v>
          </cell>
        </row>
        <row r="34">
          <cell r="D34">
            <v>4.4999999999999998E-2</v>
          </cell>
        </row>
        <row r="35">
          <cell r="D35">
            <v>4.4999999999999998E-2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cro1"/>
      <sheetName val="Sheet1Summary"/>
      <sheetName val="CARP APP Est"/>
      <sheetName val="AccrualInflation"/>
      <sheetName val="Service Projection"/>
      <sheetName val="Early Retirement Factors"/>
      <sheetName val="Comp Projection"/>
      <sheetName val="SSWB"/>
      <sheetName val="IRS Limits"/>
      <sheetName val="PresentValue"/>
      <sheetName val="IAM Benefit Provis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0.02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4"/>
  <sheetViews>
    <sheetView showRowColHeaders="0" tabSelected="1" zoomScale="120" zoomScaleNormal="120" workbookViewId="0">
      <selection activeCell="C9" sqref="C9"/>
    </sheetView>
  </sheetViews>
  <sheetFormatPr defaultColWidth="9.23046875" defaultRowHeight="15.5"/>
  <cols>
    <col min="1" max="1" width="2.69140625" style="1" customWidth="1"/>
    <col min="2" max="2" width="20.07421875" style="1" customWidth="1"/>
    <col min="3" max="3" width="12.23046875" style="1" customWidth="1"/>
    <col min="4" max="4" width="16.69140625" style="1" customWidth="1"/>
    <col min="5" max="5" width="8.69140625" style="1" customWidth="1"/>
    <col min="6" max="6" width="13.69140625" style="1" customWidth="1"/>
    <col min="7" max="7" width="6.69140625" style="1" customWidth="1"/>
    <col min="8" max="9" width="10.69140625" style="1" customWidth="1"/>
    <col min="10" max="10" width="9.69140625" style="1" customWidth="1"/>
    <col min="11" max="24" width="9.23046875" style="1"/>
    <col min="25" max="25" width="20.07421875" style="1" customWidth="1"/>
    <col min="26" max="26" width="10.69140625" style="1" customWidth="1"/>
    <col min="27" max="27" width="9.53515625" style="1" bestFit="1" customWidth="1"/>
    <col min="28" max="16384" width="9.23046875" style="1"/>
  </cols>
  <sheetData>
    <row r="1" spans="1:40" ht="25">
      <c r="A1" s="27" t="s">
        <v>65</v>
      </c>
    </row>
    <row r="3" spans="1:40" ht="18">
      <c r="B3" s="54" t="s">
        <v>45</v>
      </c>
      <c r="R3" s="1" t="s">
        <v>2</v>
      </c>
    </row>
    <row r="4" spans="1:40">
      <c r="B4" s="29" t="s">
        <v>32</v>
      </c>
      <c r="Z4" s="1" t="s">
        <v>7</v>
      </c>
      <c r="AA4" s="1" t="s">
        <v>7</v>
      </c>
      <c r="AK4" s="1" t="s">
        <v>36</v>
      </c>
    </row>
    <row r="5" spans="1:40">
      <c r="R5" s="4" t="s">
        <v>3</v>
      </c>
      <c r="S5" s="4" t="s">
        <v>1</v>
      </c>
      <c r="T5" s="1" t="s">
        <v>4</v>
      </c>
      <c r="X5" s="1" t="s">
        <v>5</v>
      </c>
      <c r="Y5" s="1" t="s">
        <v>6</v>
      </c>
      <c r="Z5" s="1" t="s">
        <v>13</v>
      </c>
      <c r="AA5" s="1" t="s">
        <v>14</v>
      </c>
    </row>
    <row r="6" spans="1:40" ht="16" thickBot="1">
      <c r="B6" s="1" t="s">
        <v>19</v>
      </c>
      <c r="R6" s="1">
        <f>C8</f>
        <v>0</v>
      </c>
      <c r="S6" s="6">
        <f t="shared" ref="S6:S37" si="0">IF(R6&lt;C$9,$C$10,IF(R6=C$9,C$11,S5*(1+$G$8)))</f>
        <v>90000</v>
      </c>
      <c r="T6" s="13"/>
      <c r="X6" s="1">
        <v>1972</v>
      </c>
      <c r="Y6" s="9">
        <v>9000</v>
      </c>
      <c r="Z6" s="11" t="s">
        <v>9</v>
      </c>
    </row>
    <row r="7" spans="1:40" ht="16" thickTop="1">
      <c r="B7" s="51" t="s">
        <v>41</v>
      </c>
      <c r="C7" s="42"/>
      <c r="D7" s="43"/>
      <c r="E7" s="51" t="s">
        <v>40</v>
      </c>
      <c r="F7" s="58"/>
      <c r="G7" s="42"/>
      <c r="H7" s="43"/>
      <c r="I7" s="51" t="s">
        <v>20</v>
      </c>
      <c r="J7" s="43"/>
      <c r="R7" s="1">
        <f>R6+1</f>
        <v>1</v>
      </c>
      <c r="S7" s="6">
        <f t="shared" si="0"/>
        <v>90000</v>
      </c>
      <c r="T7" s="13"/>
      <c r="X7" s="1">
        <v>1973</v>
      </c>
      <c r="Y7" s="9">
        <v>10800</v>
      </c>
      <c r="Z7" s="11" t="s">
        <v>9</v>
      </c>
      <c r="AE7" s="1" t="s">
        <v>28</v>
      </c>
      <c r="AK7" s="1" t="s">
        <v>3</v>
      </c>
      <c r="AL7" s="1" t="s">
        <v>1</v>
      </c>
      <c r="AM7" s="1" t="s">
        <v>37</v>
      </c>
      <c r="AN7" s="1" t="s">
        <v>38</v>
      </c>
    </row>
    <row r="8" spans="1:40">
      <c r="B8" s="44"/>
      <c r="D8" s="45"/>
      <c r="E8" s="44" t="s">
        <v>15</v>
      </c>
      <c r="G8" s="3">
        <v>0.02</v>
      </c>
      <c r="H8" s="45" t="s">
        <v>0</v>
      </c>
      <c r="I8" s="44" t="s">
        <v>21</v>
      </c>
      <c r="J8" s="48">
        <v>0.03</v>
      </c>
      <c r="R8" s="1">
        <f t="shared" ref="R8:R15" si="1">R7+1</f>
        <v>2</v>
      </c>
      <c r="S8" s="6">
        <f t="shared" si="0"/>
        <v>90000</v>
      </c>
      <c r="T8" s="13"/>
      <c r="X8" s="1">
        <v>1974</v>
      </c>
      <c r="Y8" s="9">
        <v>13200</v>
      </c>
      <c r="Z8" s="11" t="s">
        <v>9</v>
      </c>
      <c r="AE8" s="30"/>
      <c r="AF8" s="31" t="s">
        <v>3</v>
      </c>
      <c r="AG8" s="63">
        <f>C12</f>
        <v>65</v>
      </c>
      <c r="AH8" s="31" t="s">
        <v>64</v>
      </c>
      <c r="AI8" s="72">
        <f>MIN(Sheet2!AC7,AG8)-Sheet2!C7+2</f>
        <v>17</v>
      </c>
      <c r="AK8" s="8">
        <f>C9+1</f>
        <v>51</v>
      </c>
      <c r="AL8" s="6">
        <f t="shared" ref="AL8:AL39" si="2">VLOOKUP(AK8,$R$8:$S$88,2)</f>
        <v>112200</v>
      </c>
      <c r="AM8" s="6">
        <f>AL8*$J$8</f>
        <v>3366</v>
      </c>
      <c r="AN8" s="6">
        <f>AM8</f>
        <v>3366</v>
      </c>
    </row>
    <row r="9" spans="1:40">
      <c r="B9" s="44" t="s">
        <v>26</v>
      </c>
      <c r="C9" s="7">
        <v>50</v>
      </c>
      <c r="D9" s="45"/>
      <c r="E9" s="44" t="s">
        <v>8</v>
      </c>
      <c r="G9" s="3">
        <v>0.02</v>
      </c>
      <c r="H9" s="45" t="s">
        <v>0</v>
      </c>
      <c r="I9" s="49" t="s">
        <v>22</v>
      </c>
      <c r="J9" s="45"/>
      <c r="R9" s="1">
        <f t="shared" si="1"/>
        <v>3</v>
      </c>
      <c r="S9" s="6">
        <f t="shared" si="0"/>
        <v>90000</v>
      </c>
      <c r="T9" s="13"/>
      <c r="X9" s="1">
        <v>1975</v>
      </c>
      <c r="Y9" s="9">
        <v>14100</v>
      </c>
      <c r="Z9" s="11" t="s">
        <v>9</v>
      </c>
      <c r="AE9" s="33"/>
      <c r="AI9" s="34"/>
      <c r="AK9" s="8">
        <f>IF(AK8+1&gt;=$C$12,NA(),AK8+1)</f>
        <v>52</v>
      </c>
      <c r="AL9" s="6">
        <f t="shared" si="2"/>
        <v>114444</v>
      </c>
      <c r="AM9" s="6">
        <f t="shared" ref="AM9:AM72" si="3">AL9*$J$8</f>
        <v>3433.3199999999997</v>
      </c>
      <c r="AN9" s="6">
        <f>IFERROR(AM9+AN8*(1+$J$13),0)</f>
        <v>7001.28</v>
      </c>
    </row>
    <row r="10" spans="1:40">
      <c r="B10" s="44" t="s">
        <v>27</v>
      </c>
      <c r="C10" s="2">
        <v>90000</v>
      </c>
      <c r="D10" s="45"/>
      <c r="E10" s="44"/>
      <c r="H10" s="45"/>
      <c r="I10" s="49" t="s">
        <v>23</v>
      </c>
      <c r="J10" s="45"/>
      <c r="R10" s="1">
        <f t="shared" si="1"/>
        <v>4</v>
      </c>
      <c r="S10" s="6">
        <f t="shared" si="0"/>
        <v>90000</v>
      </c>
      <c r="T10" s="13"/>
      <c r="X10" s="1">
        <v>1976</v>
      </c>
      <c r="Y10" s="9">
        <v>15300</v>
      </c>
      <c r="Z10" s="11" t="s">
        <v>9</v>
      </c>
      <c r="AE10" s="35">
        <f>G13</f>
        <v>0.06</v>
      </c>
      <c r="AF10" s="1" t="s">
        <v>34</v>
      </c>
      <c r="AG10" s="1">
        <f>VLOOKUP(MIN(10%,INT($AE$10*100)/100)+1%,Sheet2!$B$8:$AC$18,AI8)</f>
        <v>11.1975</v>
      </c>
      <c r="AH10" s="28">
        <f>100*AE10-INT(100*AE10)</f>
        <v>0</v>
      </c>
      <c r="AI10" s="34"/>
      <c r="AK10" s="8">
        <f t="shared" ref="AK10:AK73" si="4">IF(AK9+1&gt;=$C$12,NA(),AK9+1)</f>
        <v>53</v>
      </c>
      <c r="AL10" s="6">
        <f t="shared" si="2"/>
        <v>116732.88</v>
      </c>
      <c r="AM10" s="6">
        <f t="shared" si="3"/>
        <v>3501.9864000000002</v>
      </c>
      <c r="AN10" s="6">
        <f t="shared" ref="AN10:AN73" si="5">IFERROR(AM10+AN9*(1+$J$13),0)</f>
        <v>10923.343200000001</v>
      </c>
    </row>
    <row r="11" spans="1:40">
      <c r="B11" s="44" t="s">
        <v>10</v>
      </c>
      <c r="C11" s="2">
        <v>110000</v>
      </c>
      <c r="D11" s="45"/>
      <c r="E11" s="44"/>
      <c r="H11" s="45"/>
      <c r="I11" s="49" t="s">
        <v>24</v>
      </c>
      <c r="J11" s="45"/>
      <c r="R11" s="1">
        <f t="shared" si="1"/>
        <v>5</v>
      </c>
      <c r="S11" s="6">
        <f t="shared" si="0"/>
        <v>90000</v>
      </c>
      <c r="T11" s="13">
        <f t="shared" ref="T11:T42" si="6">IF(R11&gt;$C$12-1,"",AVERAGE(S7:S11))</f>
        <v>90000</v>
      </c>
      <c r="X11" s="1">
        <v>1977</v>
      </c>
      <c r="Y11" s="9">
        <v>16500</v>
      </c>
      <c r="Z11" s="11" t="s">
        <v>9</v>
      </c>
      <c r="AE11" s="33"/>
      <c r="AF11" s="1" t="s">
        <v>33</v>
      </c>
      <c r="AG11" s="1">
        <f>VLOOKUP(MAX(0%,INT($AE$10*100)/100),Sheet2!$B$8:$AC$18,AI8)</f>
        <v>11.1975</v>
      </c>
      <c r="AH11" s="28">
        <f>1-AH10</f>
        <v>1</v>
      </c>
      <c r="AI11" s="34"/>
      <c r="AK11" s="8">
        <f t="shared" si="4"/>
        <v>54</v>
      </c>
      <c r="AL11" s="6">
        <f t="shared" si="2"/>
        <v>119067.53760000001</v>
      </c>
      <c r="AM11" s="6">
        <f t="shared" si="3"/>
        <v>3572.026128</v>
      </c>
      <c r="AN11" s="6">
        <f t="shared" si="5"/>
        <v>15150.769920000001</v>
      </c>
    </row>
    <row r="12" spans="1:40">
      <c r="B12" s="44" t="s">
        <v>12</v>
      </c>
      <c r="C12" s="7">
        <v>65</v>
      </c>
      <c r="D12" s="45" t="s">
        <v>17</v>
      </c>
      <c r="I12" s="44" t="s">
        <v>25</v>
      </c>
      <c r="J12" s="45"/>
      <c r="R12" s="1">
        <f t="shared" si="1"/>
        <v>6</v>
      </c>
      <c r="S12" s="6">
        <f t="shared" si="0"/>
        <v>90000</v>
      </c>
      <c r="T12" s="13">
        <f t="shared" si="6"/>
        <v>90000</v>
      </c>
      <c r="X12" s="1">
        <v>1978</v>
      </c>
      <c r="Y12" s="9">
        <v>17700</v>
      </c>
      <c r="Z12" s="11" t="s">
        <v>9</v>
      </c>
      <c r="AE12" s="36"/>
      <c r="AF12" s="37" t="s">
        <v>35</v>
      </c>
      <c r="AG12" s="37">
        <f>ROUND(AG10*AH10+AG11*AH11,4)</f>
        <v>11.1975</v>
      </c>
      <c r="AH12" s="37"/>
      <c r="AI12" s="38"/>
      <c r="AK12" s="8">
        <f t="shared" si="4"/>
        <v>55</v>
      </c>
      <c r="AL12" s="6">
        <f t="shared" si="2"/>
        <v>121448.88835200001</v>
      </c>
      <c r="AM12" s="6">
        <f t="shared" si="3"/>
        <v>3643.4666505600003</v>
      </c>
      <c r="AN12" s="6">
        <f t="shared" si="5"/>
        <v>19703.282765760003</v>
      </c>
    </row>
    <row r="13" spans="1:40">
      <c r="B13" s="44"/>
      <c r="D13" s="52"/>
      <c r="E13" s="44" t="s">
        <v>42</v>
      </c>
      <c r="G13" s="53">
        <v>0.06</v>
      </c>
      <c r="H13" s="52" t="s">
        <v>43</v>
      </c>
      <c r="I13" s="44"/>
      <c r="J13" s="48">
        <v>0.06</v>
      </c>
      <c r="R13" s="1">
        <f t="shared" si="1"/>
        <v>7</v>
      </c>
      <c r="S13" s="6">
        <f t="shared" si="0"/>
        <v>90000</v>
      </c>
      <c r="T13" s="13">
        <f t="shared" si="6"/>
        <v>90000</v>
      </c>
      <c r="X13" s="1">
        <v>1979</v>
      </c>
      <c r="Y13" s="9">
        <v>22900</v>
      </c>
      <c r="Z13" s="11" t="s">
        <v>9</v>
      </c>
      <c r="AK13" s="8">
        <f t="shared" si="4"/>
        <v>56</v>
      </c>
      <c r="AL13" s="6">
        <f t="shared" si="2"/>
        <v>123877.86611904002</v>
      </c>
      <c r="AM13" s="6">
        <f t="shared" si="3"/>
        <v>3716.3359835712004</v>
      </c>
      <c r="AN13" s="6">
        <f t="shared" si="5"/>
        <v>24601.815715276804</v>
      </c>
    </row>
    <row r="14" spans="1:40" ht="16" thickBot="1">
      <c r="B14" s="46"/>
      <c r="C14" s="50"/>
      <c r="D14" s="47"/>
      <c r="E14" s="46"/>
      <c r="F14" s="50"/>
      <c r="G14" s="50"/>
      <c r="H14" s="47"/>
      <c r="I14" s="46"/>
      <c r="J14" s="47"/>
      <c r="R14" s="1">
        <f t="shared" si="1"/>
        <v>8</v>
      </c>
      <c r="S14" s="6">
        <f t="shared" si="0"/>
        <v>90000</v>
      </c>
      <c r="T14" s="13">
        <f t="shared" si="6"/>
        <v>90000</v>
      </c>
      <c r="X14" s="1">
        <v>1980</v>
      </c>
      <c r="Y14" s="9">
        <v>25900</v>
      </c>
      <c r="Z14" s="11" t="s">
        <v>9</v>
      </c>
      <c r="AK14" s="8">
        <f t="shared" si="4"/>
        <v>57</v>
      </c>
      <c r="AL14" s="6">
        <f t="shared" si="2"/>
        <v>126355.42344142082</v>
      </c>
      <c r="AM14" s="6">
        <f t="shared" si="3"/>
        <v>3790.6627032426245</v>
      </c>
      <c r="AN14" s="6">
        <f t="shared" si="5"/>
        <v>29868.587361436039</v>
      </c>
    </row>
    <row r="15" spans="1:40" ht="16" thickTop="1">
      <c r="H15" s="18"/>
      <c r="R15" s="1">
        <f t="shared" si="1"/>
        <v>9</v>
      </c>
      <c r="S15" s="6">
        <f t="shared" si="0"/>
        <v>90000</v>
      </c>
      <c r="T15" s="13">
        <f t="shared" si="6"/>
        <v>90000</v>
      </c>
      <c r="X15" s="1">
        <v>1981</v>
      </c>
      <c r="Y15" s="9">
        <v>29700</v>
      </c>
      <c r="Z15" s="11" t="s">
        <v>9</v>
      </c>
      <c r="AE15" s="1" t="s">
        <v>54</v>
      </c>
      <c r="AK15" s="8">
        <f t="shared" si="4"/>
        <v>58</v>
      </c>
      <c r="AL15" s="6">
        <f t="shared" si="2"/>
        <v>128882.53191024924</v>
      </c>
      <c r="AM15" s="6">
        <f t="shared" si="3"/>
        <v>3866.4759573074771</v>
      </c>
      <c r="AN15" s="6">
        <f t="shared" si="5"/>
        <v>35527.178560429675</v>
      </c>
    </row>
    <row r="16" spans="1:40">
      <c r="D16" s="4" t="s">
        <v>47</v>
      </c>
      <c r="F16" s="57" t="s">
        <v>59</v>
      </c>
      <c r="G16" s="4"/>
      <c r="R16" s="1">
        <f t="shared" ref="R16:R79" si="7">R15+1</f>
        <v>10</v>
      </c>
      <c r="S16" s="6">
        <f t="shared" si="0"/>
        <v>90000</v>
      </c>
      <c r="T16" s="13">
        <f t="shared" si="6"/>
        <v>90000</v>
      </c>
      <c r="X16" s="1">
        <v>1982</v>
      </c>
      <c r="Y16" s="9">
        <v>32400</v>
      </c>
      <c r="Z16" s="11" t="s">
        <v>9</v>
      </c>
      <c r="AE16" s="30" t="s">
        <v>55</v>
      </c>
      <c r="AF16" s="31"/>
      <c r="AG16" s="63">
        <f>2016-C9</f>
        <v>1966</v>
      </c>
      <c r="AH16" s="31"/>
      <c r="AI16" s="32"/>
      <c r="AK16" s="8">
        <f t="shared" si="4"/>
        <v>59</v>
      </c>
      <c r="AL16" s="6">
        <f t="shared" si="2"/>
        <v>131460.18254845424</v>
      </c>
      <c r="AM16" s="6">
        <f t="shared" si="3"/>
        <v>3943.8054764536269</v>
      </c>
      <c r="AN16" s="6">
        <f t="shared" si="5"/>
        <v>41602.614750509085</v>
      </c>
    </row>
    <row r="17" spans="2:40">
      <c r="D17" s="18"/>
      <c r="I17" s="18"/>
      <c r="R17" s="1">
        <f t="shared" si="7"/>
        <v>11</v>
      </c>
      <c r="S17" s="6">
        <f t="shared" si="0"/>
        <v>90000</v>
      </c>
      <c r="T17" s="13">
        <f t="shared" si="6"/>
        <v>90000</v>
      </c>
      <c r="X17" s="1">
        <v>1983</v>
      </c>
      <c r="Y17" s="9">
        <v>35700</v>
      </c>
      <c r="Z17" s="11" t="s">
        <v>9</v>
      </c>
      <c r="AE17" s="33" t="s">
        <v>56</v>
      </c>
      <c r="AG17" s="8">
        <f>VLOOKUP(AG16,AE21:AF23,2)</f>
        <v>67</v>
      </c>
      <c r="AI17" s="34"/>
      <c r="AK17" s="8">
        <f t="shared" si="4"/>
        <v>60</v>
      </c>
      <c r="AL17" s="6">
        <f t="shared" si="2"/>
        <v>134089.38619942332</v>
      </c>
      <c r="AM17" s="6">
        <f t="shared" si="3"/>
        <v>4022.6815859826993</v>
      </c>
      <c r="AN17" s="6">
        <f t="shared" si="5"/>
        <v>48121.45322152233</v>
      </c>
    </row>
    <row r="18" spans="2:40">
      <c r="B18" s="1" t="s">
        <v>11</v>
      </c>
      <c r="D18" s="56">
        <f>MAX(T6:T88)</f>
        <v>139561.31016230973</v>
      </c>
      <c r="E18" s="15" t="s">
        <v>48</v>
      </c>
      <c r="F18" s="5">
        <f>D18*1.19%</f>
        <v>1660.7795909314857</v>
      </c>
      <c r="G18" s="1" t="s">
        <v>60</v>
      </c>
      <c r="R18" s="1">
        <f t="shared" si="7"/>
        <v>12</v>
      </c>
      <c r="S18" s="6">
        <f t="shared" si="0"/>
        <v>90000</v>
      </c>
      <c r="T18" s="13">
        <f t="shared" si="6"/>
        <v>90000</v>
      </c>
      <c r="X18" s="1">
        <v>1984</v>
      </c>
      <c r="Y18" s="9">
        <v>37800</v>
      </c>
      <c r="Z18" s="11" t="s">
        <v>9</v>
      </c>
      <c r="AE18" s="33" t="s">
        <v>71</v>
      </c>
      <c r="AG18" s="8">
        <f>AG16+AG17</f>
        <v>2033</v>
      </c>
      <c r="AI18" s="34"/>
      <c r="AK18" s="8">
        <f t="shared" si="4"/>
        <v>61</v>
      </c>
      <c r="AL18" s="6">
        <f t="shared" si="2"/>
        <v>136771.17392341178</v>
      </c>
      <c r="AM18" s="6">
        <f t="shared" si="3"/>
        <v>4103.1352177023537</v>
      </c>
      <c r="AN18" s="6">
        <f t="shared" si="5"/>
        <v>55111.875632516021</v>
      </c>
    </row>
    <row r="19" spans="2:40">
      <c r="B19" s="1" t="s">
        <v>16</v>
      </c>
      <c r="D19" s="55">
        <f>VLOOKUP(C21,X6:Z104,3)</f>
        <v>119448</v>
      </c>
      <c r="F19" s="5"/>
      <c r="R19" s="1">
        <f t="shared" si="7"/>
        <v>13</v>
      </c>
      <c r="S19" s="6">
        <f t="shared" si="0"/>
        <v>90000</v>
      </c>
      <c r="T19" s="13">
        <f t="shared" si="6"/>
        <v>90000</v>
      </c>
      <c r="X19" s="1">
        <v>1985</v>
      </c>
      <c r="Y19" s="9">
        <v>39600</v>
      </c>
      <c r="Z19" s="11" t="s">
        <v>9</v>
      </c>
      <c r="AE19" s="33"/>
      <c r="AI19" s="34"/>
      <c r="AK19" s="8">
        <f t="shared" si="4"/>
        <v>62</v>
      </c>
      <c r="AL19" s="6">
        <f t="shared" si="2"/>
        <v>139506.59740188002</v>
      </c>
      <c r="AM19" s="6">
        <f t="shared" si="3"/>
        <v>4185.1979220564008</v>
      </c>
      <c r="AN19" s="6">
        <f t="shared" si="5"/>
        <v>62603.786092523391</v>
      </c>
    </row>
    <row r="20" spans="2:40">
      <c r="B20" s="1" t="s">
        <v>52</v>
      </c>
      <c r="C20" s="8">
        <f>2016+C12-C9</f>
        <v>2031</v>
      </c>
      <c r="R20" s="1">
        <f t="shared" si="7"/>
        <v>14</v>
      </c>
      <c r="S20" s="6">
        <f t="shared" si="0"/>
        <v>90000</v>
      </c>
      <c r="T20" s="13">
        <f t="shared" si="6"/>
        <v>90000</v>
      </c>
      <c r="X20" s="1">
        <v>1986</v>
      </c>
      <c r="Y20" s="9">
        <v>42000</v>
      </c>
      <c r="Z20" s="11" t="s">
        <v>9</v>
      </c>
      <c r="AE20" s="33" t="s">
        <v>57</v>
      </c>
      <c r="AF20" s="1" t="s">
        <v>56</v>
      </c>
      <c r="AI20" s="34"/>
      <c r="AK20" s="8">
        <f t="shared" si="4"/>
        <v>63</v>
      </c>
      <c r="AL20" s="6">
        <f t="shared" si="2"/>
        <v>142296.72934991762</v>
      </c>
      <c r="AM20" s="6">
        <f t="shared" si="3"/>
        <v>4268.9018804975285</v>
      </c>
      <c r="AN20" s="6">
        <f t="shared" si="5"/>
        <v>70628.915138572338</v>
      </c>
    </row>
    <row r="21" spans="2:40">
      <c r="B21" s="1" t="s">
        <v>53</v>
      </c>
      <c r="C21" s="8">
        <f>AG18</f>
        <v>2033</v>
      </c>
      <c r="R21" s="1">
        <f t="shared" si="7"/>
        <v>15</v>
      </c>
      <c r="S21" s="6">
        <f t="shared" si="0"/>
        <v>90000</v>
      </c>
      <c r="T21" s="13">
        <f t="shared" si="6"/>
        <v>90000</v>
      </c>
      <c r="X21" s="1">
        <v>1987</v>
      </c>
      <c r="Y21" s="9">
        <v>43800</v>
      </c>
      <c r="Z21" s="11" t="s">
        <v>9</v>
      </c>
      <c r="AE21" s="64">
        <v>0</v>
      </c>
      <c r="AF21" s="62">
        <v>65</v>
      </c>
      <c r="AI21" s="34"/>
      <c r="AK21" s="8">
        <f t="shared" si="4"/>
        <v>64</v>
      </c>
      <c r="AL21" s="6">
        <f t="shared" si="2"/>
        <v>145142.66393691598</v>
      </c>
      <c r="AM21" s="6">
        <f t="shared" si="3"/>
        <v>4354.2799181074797</v>
      </c>
      <c r="AN21" s="6">
        <f t="shared" si="5"/>
        <v>79220.929964994168</v>
      </c>
    </row>
    <row r="22" spans="2:40" ht="16" thickBot="1">
      <c r="B22" s="1" t="s">
        <v>67</v>
      </c>
      <c r="D22" s="5">
        <f>MAX(0,D18-D19)</f>
        <v>20113.310162309732</v>
      </c>
      <c r="E22" s="1" t="s">
        <v>49</v>
      </c>
      <c r="F22" s="5">
        <f>D22*0.45%</f>
        <v>90.509895730393808</v>
      </c>
      <c r="G22" s="1" t="s">
        <v>60</v>
      </c>
      <c r="R22" s="1">
        <f t="shared" si="7"/>
        <v>16</v>
      </c>
      <c r="S22" s="6">
        <f t="shared" si="0"/>
        <v>90000</v>
      </c>
      <c r="T22" s="13">
        <f t="shared" si="6"/>
        <v>90000</v>
      </c>
      <c r="X22" s="1">
        <v>1988</v>
      </c>
      <c r="Y22" s="9">
        <v>45000</v>
      </c>
      <c r="Z22" s="11" t="s">
        <v>9</v>
      </c>
      <c r="AE22" s="64">
        <v>1938</v>
      </c>
      <c r="AF22" s="62">
        <v>66</v>
      </c>
      <c r="AI22" s="34"/>
      <c r="AK22" s="8" t="e">
        <f t="shared" si="4"/>
        <v>#N/A</v>
      </c>
      <c r="AL22" s="6" t="e">
        <f t="shared" si="2"/>
        <v>#N/A</v>
      </c>
      <c r="AM22" s="6" t="e">
        <f t="shared" si="3"/>
        <v>#N/A</v>
      </c>
      <c r="AN22" s="6">
        <f t="shared" si="5"/>
        <v>0</v>
      </c>
    </row>
    <row r="23" spans="2:40" ht="20.5" thickTop="1">
      <c r="E23" s="4" t="s">
        <v>46</v>
      </c>
      <c r="F23" s="73">
        <f>F18+F22</f>
        <v>1751.2894866618794</v>
      </c>
      <c r="R23" s="1">
        <f t="shared" si="7"/>
        <v>17</v>
      </c>
      <c r="S23" s="6">
        <f t="shared" si="0"/>
        <v>90000</v>
      </c>
      <c r="T23" s="13">
        <f t="shared" si="6"/>
        <v>90000</v>
      </c>
      <c r="X23" s="1">
        <v>1989</v>
      </c>
      <c r="Y23" s="9">
        <v>48000</v>
      </c>
      <c r="Z23" s="11" t="s">
        <v>9</v>
      </c>
      <c r="AE23" s="64">
        <v>1955</v>
      </c>
      <c r="AF23" s="62">
        <v>67</v>
      </c>
      <c r="AI23" s="34"/>
      <c r="AK23" s="8" t="e">
        <f t="shared" si="4"/>
        <v>#N/A</v>
      </c>
      <c r="AL23" s="6" t="e">
        <f t="shared" si="2"/>
        <v>#N/A</v>
      </c>
      <c r="AM23" s="6" t="e">
        <f t="shared" si="3"/>
        <v>#N/A</v>
      </c>
      <c r="AN23" s="6">
        <f t="shared" si="5"/>
        <v>0</v>
      </c>
    </row>
    <row r="24" spans="2:40" ht="20.5" thickBot="1">
      <c r="B24" s="1" t="s">
        <v>18</v>
      </c>
      <c r="D24" s="8"/>
      <c r="E24" s="4" t="s">
        <v>50</v>
      </c>
      <c r="F24" s="59">
        <f>MIN(C12-C9,30)</f>
        <v>15</v>
      </c>
      <c r="H24" s="25"/>
      <c r="R24" s="1">
        <f t="shared" si="7"/>
        <v>18</v>
      </c>
      <c r="S24" s="6">
        <f t="shared" si="0"/>
        <v>90000</v>
      </c>
      <c r="T24" s="13">
        <f t="shared" si="6"/>
        <v>90000</v>
      </c>
      <c r="X24" s="1">
        <v>1990</v>
      </c>
      <c r="Y24" s="9">
        <v>51300</v>
      </c>
      <c r="Z24" s="11" t="s">
        <v>9</v>
      </c>
      <c r="AE24" s="36"/>
      <c r="AF24" s="37"/>
      <c r="AG24" s="37"/>
      <c r="AH24" s="37"/>
      <c r="AI24" s="38"/>
      <c r="AK24" s="8" t="e">
        <f t="shared" si="4"/>
        <v>#N/A</v>
      </c>
      <c r="AL24" s="6" t="e">
        <f t="shared" si="2"/>
        <v>#N/A</v>
      </c>
      <c r="AM24" s="6" t="e">
        <f t="shared" si="3"/>
        <v>#N/A</v>
      </c>
      <c r="AN24" s="6">
        <f t="shared" si="5"/>
        <v>0</v>
      </c>
    </row>
    <row r="25" spans="2:40" ht="20.5" thickTop="1">
      <c r="B25" s="1" t="s">
        <v>58</v>
      </c>
      <c r="D25" s="17"/>
      <c r="F25" s="61">
        <f>F23*F24</f>
        <v>26269.34229992819</v>
      </c>
      <c r="R25" s="1">
        <f t="shared" si="7"/>
        <v>19</v>
      </c>
      <c r="S25" s="6">
        <f t="shared" si="0"/>
        <v>90000</v>
      </c>
      <c r="T25" s="13">
        <f t="shared" si="6"/>
        <v>90000</v>
      </c>
      <c r="U25" s="6"/>
      <c r="X25" s="1">
        <v>1991</v>
      </c>
      <c r="Y25" s="9">
        <v>53400</v>
      </c>
      <c r="Z25" s="11" t="s">
        <v>9</v>
      </c>
      <c r="AK25" s="8" t="e">
        <f t="shared" si="4"/>
        <v>#N/A</v>
      </c>
      <c r="AL25" s="6" t="e">
        <f t="shared" si="2"/>
        <v>#N/A</v>
      </c>
      <c r="AM25" s="6" t="e">
        <f t="shared" si="3"/>
        <v>#N/A</v>
      </c>
      <c r="AN25" s="6">
        <f t="shared" si="5"/>
        <v>0</v>
      </c>
    </row>
    <row r="26" spans="2:40" ht="20.5" thickBot="1">
      <c r="B26" s="1" t="s">
        <v>69</v>
      </c>
      <c r="D26" s="25"/>
      <c r="E26" s="4" t="s">
        <v>50</v>
      </c>
      <c r="F26" s="68">
        <f>AI32</f>
        <v>1</v>
      </c>
      <c r="G26" s="41"/>
      <c r="R26" s="1">
        <f t="shared" si="7"/>
        <v>20</v>
      </c>
      <c r="S26" s="6">
        <f t="shared" si="0"/>
        <v>90000</v>
      </c>
      <c r="T26" s="13">
        <f t="shared" si="6"/>
        <v>90000</v>
      </c>
      <c r="X26" s="1">
        <v>1992</v>
      </c>
      <c r="Y26" s="9">
        <v>55500</v>
      </c>
      <c r="Z26" s="11" t="s">
        <v>9</v>
      </c>
      <c r="AK26" s="8" t="e">
        <f t="shared" si="4"/>
        <v>#N/A</v>
      </c>
      <c r="AL26" s="6" t="e">
        <f t="shared" si="2"/>
        <v>#N/A</v>
      </c>
      <c r="AM26" s="6" t="e">
        <f t="shared" si="3"/>
        <v>#N/A</v>
      </c>
      <c r="AN26" s="6">
        <f t="shared" si="5"/>
        <v>0</v>
      </c>
    </row>
    <row r="27" spans="2:40" ht="20.5" thickTop="1">
      <c r="B27" s="1" t="s">
        <v>68</v>
      </c>
      <c r="C27" s="12"/>
      <c r="D27" s="19"/>
      <c r="F27" s="73">
        <f>F25*F26</f>
        <v>26269.34229992819</v>
      </c>
      <c r="G27" s="4" t="s">
        <v>66</v>
      </c>
      <c r="H27" s="40">
        <f>F27/12</f>
        <v>2189.1118583273492</v>
      </c>
      <c r="I27" s="40" t="s">
        <v>51</v>
      </c>
      <c r="R27" s="1">
        <f t="shared" si="7"/>
        <v>21</v>
      </c>
      <c r="S27" s="6">
        <f t="shared" si="0"/>
        <v>90000</v>
      </c>
      <c r="T27" s="13">
        <f t="shared" si="6"/>
        <v>90000</v>
      </c>
      <c r="X27" s="1">
        <v>1993</v>
      </c>
      <c r="Y27" s="9">
        <v>57600</v>
      </c>
      <c r="Z27" s="11" t="s">
        <v>9</v>
      </c>
      <c r="AK27" s="8" t="e">
        <f t="shared" si="4"/>
        <v>#N/A</v>
      </c>
      <c r="AL27" s="6" t="e">
        <f t="shared" si="2"/>
        <v>#N/A</v>
      </c>
      <c r="AM27" s="6" t="e">
        <f t="shared" si="3"/>
        <v>#N/A</v>
      </c>
      <c r="AN27" s="6">
        <f t="shared" si="5"/>
        <v>0</v>
      </c>
    </row>
    <row r="28" spans="2:40" ht="20">
      <c r="B28" s="1" t="s">
        <v>39</v>
      </c>
      <c r="E28" s="41"/>
      <c r="F28" s="60">
        <f>F25*$AG$12</f>
        <v>294150.96040344588</v>
      </c>
      <c r="R28" s="1">
        <f t="shared" si="7"/>
        <v>22</v>
      </c>
      <c r="S28" s="6">
        <f t="shared" si="0"/>
        <v>90000</v>
      </c>
      <c r="T28" s="13">
        <f t="shared" si="6"/>
        <v>90000</v>
      </c>
      <c r="X28" s="1">
        <v>1994</v>
      </c>
      <c r="Y28" s="9">
        <v>60600</v>
      </c>
      <c r="Z28" s="11" t="s">
        <v>9</v>
      </c>
      <c r="AE28" s="1" t="s">
        <v>61</v>
      </c>
      <c r="AK28" s="8" t="e">
        <f t="shared" si="4"/>
        <v>#N/A</v>
      </c>
      <c r="AL28" s="6" t="e">
        <f t="shared" si="2"/>
        <v>#N/A</v>
      </c>
      <c r="AM28" s="6" t="e">
        <f t="shared" si="3"/>
        <v>#N/A</v>
      </c>
      <c r="AN28" s="6">
        <f t="shared" si="5"/>
        <v>0</v>
      </c>
    </row>
    <row r="29" spans="2:40">
      <c r="R29" s="1">
        <f t="shared" si="7"/>
        <v>23</v>
      </c>
      <c r="S29" s="6">
        <f t="shared" si="0"/>
        <v>90000</v>
      </c>
      <c r="T29" s="13">
        <f t="shared" si="6"/>
        <v>90000</v>
      </c>
      <c r="X29" s="1">
        <v>1995</v>
      </c>
      <c r="Y29" s="9">
        <v>61200</v>
      </c>
      <c r="Z29" s="11" t="s">
        <v>9</v>
      </c>
      <c r="AE29" s="30"/>
      <c r="AF29" s="31"/>
      <c r="AG29" s="31"/>
      <c r="AH29" s="31"/>
      <c r="AI29" s="32"/>
      <c r="AK29" s="8" t="e">
        <f t="shared" si="4"/>
        <v>#N/A</v>
      </c>
      <c r="AL29" s="6" t="e">
        <f t="shared" si="2"/>
        <v>#N/A</v>
      </c>
      <c r="AM29" s="6" t="e">
        <f t="shared" si="3"/>
        <v>#N/A</v>
      </c>
      <c r="AN29" s="6">
        <f t="shared" si="5"/>
        <v>0</v>
      </c>
    </row>
    <row r="30" spans="2:40" ht="20">
      <c r="B30" s="1" t="s">
        <v>44</v>
      </c>
      <c r="C30" s="12"/>
      <c r="D30" s="19"/>
      <c r="E30" s="19"/>
      <c r="F30" s="19"/>
      <c r="R30" s="1">
        <f t="shared" si="7"/>
        <v>24</v>
      </c>
      <c r="S30" s="6">
        <f t="shared" si="0"/>
        <v>90000</v>
      </c>
      <c r="T30" s="13">
        <f t="shared" si="6"/>
        <v>90000</v>
      </c>
      <c r="X30" s="1">
        <v>1996</v>
      </c>
      <c r="Y30" s="9">
        <v>62700</v>
      </c>
      <c r="Z30" s="9">
        <v>27576</v>
      </c>
      <c r="AE30" s="33" t="s">
        <v>3</v>
      </c>
      <c r="AF30" s="1" t="s">
        <v>62</v>
      </c>
      <c r="AI30" s="34"/>
      <c r="AK30" s="8" t="e">
        <f t="shared" si="4"/>
        <v>#N/A</v>
      </c>
      <c r="AL30" s="6" t="e">
        <f t="shared" si="2"/>
        <v>#N/A</v>
      </c>
      <c r="AM30" s="6" t="e">
        <f t="shared" si="3"/>
        <v>#N/A</v>
      </c>
      <c r="AN30" s="6">
        <f t="shared" si="5"/>
        <v>0</v>
      </c>
    </row>
    <row r="31" spans="2:40" ht="24.5">
      <c r="C31" s="12"/>
      <c r="D31" s="20"/>
      <c r="F31" s="39">
        <f>MAX(AN8:AN77)</f>
        <v>79220.929964994168</v>
      </c>
      <c r="R31" s="1">
        <f t="shared" si="7"/>
        <v>25</v>
      </c>
      <c r="S31" s="6">
        <f t="shared" si="0"/>
        <v>90000</v>
      </c>
      <c r="T31" s="13">
        <f t="shared" si="6"/>
        <v>90000</v>
      </c>
      <c r="X31" s="1">
        <v>1997</v>
      </c>
      <c r="Y31" s="9">
        <v>65400</v>
      </c>
      <c r="Z31" s="9">
        <v>29304</v>
      </c>
      <c r="AE31" s="64">
        <v>0</v>
      </c>
      <c r="AF31" s="65">
        <v>0.1918</v>
      </c>
      <c r="AH31" s="1" t="s">
        <v>63</v>
      </c>
      <c r="AI31" s="66">
        <f>C12</f>
        <v>65</v>
      </c>
      <c r="AK31" s="8" t="e">
        <f t="shared" si="4"/>
        <v>#N/A</v>
      </c>
      <c r="AL31" s="6" t="e">
        <f t="shared" si="2"/>
        <v>#N/A</v>
      </c>
      <c r="AM31" s="6" t="e">
        <f t="shared" si="3"/>
        <v>#N/A</v>
      </c>
      <c r="AN31" s="6">
        <f t="shared" si="5"/>
        <v>0</v>
      </c>
    </row>
    <row r="32" spans="2:40" ht="20">
      <c r="C32" s="21"/>
      <c r="D32" s="19"/>
      <c r="R32" s="1">
        <f t="shared" si="7"/>
        <v>26</v>
      </c>
      <c r="S32" s="6">
        <f t="shared" si="0"/>
        <v>90000</v>
      </c>
      <c r="T32" s="13">
        <f t="shared" si="6"/>
        <v>90000</v>
      </c>
      <c r="X32" s="1">
        <v>1998</v>
      </c>
      <c r="Y32" s="9">
        <v>68400</v>
      </c>
      <c r="Z32" s="9">
        <v>31128</v>
      </c>
      <c r="AE32" s="64">
        <v>51</v>
      </c>
      <c r="AF32" s="65">
        <v>0.2117</v>
      </c>
      <c r="AH32" s="1" t="s">
        <v>62</v>
      </c>
      <c r="AI32" s="67">
        <f>VLOOKUP(AI31,AE31:AF46,2)</f>
        <v>1</v>
      </c>
      <c r="AK32" s="8" t="e">
        <f t="shared" si="4"/>
        <v>#N/A</v>
      </c>
      <c r="AL32" s="6" t="e">
        <f t="shared" si="2"/>
        <v>#N/A</v>
      </c>
      <c r="AM32" s="6" t="e">
        <f t="shared" si="3"/>
        <v>#N/A</v>
      </c>
      <c r="AN32" s="6">
        <f t="shared" si="5"/>
        <v>0</v>
      </c>
    </row>
    <row r="33" spans="2:40" ht="20">
      <c r="C33" s="16"/>
      <c r="D33" s="22"/>
      <c r="E33" s="26"/>
      <c r="F33" s="26"/>
      <c r="R33" s="1">
        <f t="shared" si="7"/>
        <v>27</v>
      </c>
      <c r="S33" s="6">
        <f t="shared" si="0"/>
        <v>90000</v>
      </c>
      <c r="T33" s="13">
        <f t="shared" si="6"/>
        <v>90000</v>
      </c>
      <c r="X33" s="1">
        <v>1999</v>
      </c>
      <c r="Y33" s="9">
        <v>72600</v>
      </c>
      <c r="Z33" s="9">
        <v>33060</v>
      </c>
      <c r="AE33" s="64">
        <v>52</v>
      </c>
      <c r="AF33" s="65">
        <v>0.23400000000000001</v>
      </c>
      <c r="AI33" s="34"/>
      <c r="AK33" s="8" t="e">
        <f t="shared" si="4"/>
        <v>#N/A</v>
      </c>
      <c r="AL33" s="6" t="e">
        <f t="shared" si="2"/>
        <v>#N/A</v>
      </c>
      <c r="AM33" s="6" t="e">
        <f t="shared" si="3"/>
        <v>#N/A</v>
      </c>
      <c r="AN33" s="6">
        <f t="shared" si="5"/>
        <v>0</v>
      </c>
    </row>
    <row r="34" spans="2:40" ht="20">
      <c r="C34" s="16"/>
      <c r="D34" s="22"/>
      <c r="E34" s="22"/>
      <c r="F34" s="22"/>
      <c r="R34" s="1">
        <f t="shared" si="7"/>
        <v>28</v>
      </c>
      <c r="S34" s="6">
        <f t="shared" si="0"/>
        <v>90000</v>
      </c>
      <c r="T34" s="13">
        <f t="shared" si="6"/>
        <v>90000</v>
      </c>
      <c r="X34" s="1">
        <v>2000</v>
      </c>
      <c r="Y34" s="9">
        <v>76200</v>
      </c>
      <c r="Z34" s="9">
        <v>35100</v>
      </c>
      <c r="AE34" s="64">
        <v>53</v>
      </c>
      <c r="AF34" s="65">
        <v>0.25900000000000001</v>
      </c>
      <c r="AI34" s="34"/>
      <c r="AK34" s="8" t="e">
        <f t="shared" si="4"/>
        <v>#N/A</v>
      </c>
      <c r="AL34" s="6" t="e">
        <f t="shared" si="2"/>
        <v>#N/A</v>
      </c>
      <c r="AM34" s="6" t="e">
        <f t="shared" si="3"/>
        <v>#N/A</v>
      </c>
      <c r="AN34" s="6">
        <f t="shared" si="5"/>
        <v>0</v>
      </c>
    </row>
    <row r="35" spans="2:40" ht="24.5">
      <c r="B35" s="16"/>
      <c r="C35" s="16"/>
      <c r="D35" s="23"/>
      <c r="E35" s="23"/>
      <c r="F35" s="23"/>
      <c r="R35" s="1">
        <f t="shared" si="7"/>
        <v>29</v>
      </c>
      <c r="S35" s="6">
        <f t="shared" si="0"/>
        <v>90000</v>
      </c>
      <c r="T35" s="13">
        <f t="shared" si="6"/>
        <v>90000</v>
      </c>
      <c r="X35" s="1">
        <v>2001</v>
      </c>
      <c r="Y35" s="9">
        <v>80400</v>
      </c>
      <c r="Z35" s="9">
        <v>37212</v>
      </c>
      <c r="AE35" s="64">
        <v>54</v>
      </c>
      <c r="AF35" s="65">
        <v>0.28689999999999999</v>
      </c>
      <c r="AI35" s="34"/>
      <c r="AK35" s="8" t="e">
        <f t="shared" si="4"/>
        <v>#N/A</v>
      </c>
      <c r="AL35" s="6" t="e">
        <f t="shared" si="2"/>
        <v>#N/A</v>
      </c>
      <c r="AM35" s="6" t="e">
        <f t="shared" si="3"/>
        <v>#N/A</v>
      </c>
      <c r="AN35" s="6">
        <f t="shared" si="5"/>
        <v>0</v>
      </c>
    </row>
    <row r="36" spans="2:40" ht="20">
      <c r="B36" s="16"/>
      <c r="C36" s="24"/>
      <c r="D36" s="22"/>
      <c r="E36" s="22"/>
      <c r="F36" s="22"/>
      <c r="R36" s="1">
        <f t="shared" si="7"/>
        <v>30</v>
      </c>
      <c r="S36" s="6">
        <f t="shared" si="0"/>
        <v>90000</v>
      </c>
      <c r="T36" s="13">
        <f t="shared" si="6"/>
        <v>90000</v>
      </c>
      <c r="X36" s="1">
        <v>2002</v>
      </c>
      <c r="Y36" s="9">
        <v>84900</v>
      </c>
      <c r="Z36" s="9">
        <v>39444</v>
      </c>
      <c r="AE36" s="64">
        <v>55</v>
      </c>
      <c r="AF36" s="65">
        <v>0.31840000000000002</v>
      </c>
      <c r="AI36" s="34"/>
      <c r="AK36" s="8" t="e">
        <f t="shared" si="4"/>
        <v>#N/A</v>
      </c>
      <c r="AL36" s="6" t="e">
        <f t="shared" si="2"/>
        <v>#N/A</v>
      </c>
      <c r="AM36" s="6" t="e">
        <f t="shared" si="3"/>
        <v>#N/A</v>
      </c>
      <c r="AN36" s="6">
        <f t="shared" si="5"/>
        <v>0</v>
      </c>
    </row>
    <row r="37" spans="2:40">
      <c r="R37" s="1">
        <f t="shared" si="7"/>
        <v>31</v>
      </c>
      <c r="S37" s="6">
        <f t="shared" si="0"/>
        <v>90000</v>
      </c>
      <c r="T37" s="13">
        <f t="shared" si="6"/>
        <v>90000</v>
      </c>
      <c r="X37" s="1">
        <v>2003</v>
      </c>
      <c r="Y37" s="9">
        <v>87000</v>
      </c>
      <c r="Z37" s="9">
        <f>AVERAGE(Z38,Z36)</f>
        <v>41718</v>
      </c>
      <c r="AE37" s="64">
        <v>56</v>
      </c>
      <c r="AF37" s="65">
        <v>0.35389999999999999</v>
      </c>
      <c r="AI37" s="34"/>
      <c r="AK37" s="8" t="e">
        <f t="shared" si="4"/>
        <v>#N/A</v>
      </c>
      <c r="AL37" s="6" t="e">
        <f t="shared" si="2"/>
        <v>#N/A</v>
      </c>
      <c r="AM37" s="6" t="e">
        <f t="shared" si="3"/>
        <v>#N/A</v>
      </c>
      <c r="AN37" s="6">
        <f t="shared" si="5"/>
        <v>0</v>
      </c>
    </row>
    <row r="38" spans="2:40">
      <c r="R38" s="1">
        <f t="shared" si="7"/>
        <v>32</v>
      </c>
      <c r="S38" s="6">
        <f t="shared" ref="S38:S69" si="8">IF(R38&lt;C$9,$C$10,IF(R38=C$9,C$11,S37*(1+$G$8)))</f>
        <v>90000</v>
      </c>
      <c r="T38" s="13">
        <f t="shared" si="6"/>
        <v>90000</v>
      </c>
      <c r="X38" s="1">
        <v>2004</v>
      </c>
      <c r="Y38" s="9">
        <v>87900</v>
      </c>
      <c r="Z38" s="9">
        <v>43992</v>
      </c>
      <c r="AE38" s="64">
        <v>57</v>
      </c>
      <c r="AF38" s="65">
        <v>0.39389999999999997</v>
      </c>
      <c r="AI38" s="34"/>
      <c r="AK38" s="8" t="e">
        <f t="shared" si="4"/>
        <v>#N/A</v>
      </c>
      <c r="AL38" s="6" t="e">
        <f t="shared" si="2"/>
        <v>#N/A</v>
      </c>
      <c r="AM38" s="6" t="e">
        <f t="shared" si="3"/>
        <v>#N/A</v>
      </c>
      <c r="AN38" s="6">
        <f t="shared" si="5"/>
        <v>0</v>
      </c>
    </row>
    <row r="39" spans="2:40">
      <c r="R39" s="1">
        <f t="shared" si="7"/>
        <v>33</v>
      </c>
      <c r="S39" s="6">
        <f t="shared" si="8"/>
        <v>90000</v>
      </c>
      <c r="T39" s="13">
        <f t="shared" si="6"/>
        <v>90000</v>
      </c>
      <c r="X39" s="1">
        <v>2005</v>
      </c>
      <c r="Y39" s="9">
        <v>90000</v>
      </c>
      <c r="Z39" s="9">
        <v>46344</v>
      </c>
      <c r="AE39" s="64">
        <v>58</v>
      </c>
      <c r="AF39" s="65">
        <v>0.43930000000000002</v>
      </c>
      <c r="AI39" s="34"/>
      <c r="AK39" s="8" t="e">
        <f t="shared" si="4"/>
        <v>#N/A</v>
      </c>
      <c r="AL39" s="6" t="e">
        <f t="shared" si="2"/>
        <v>#N/A</v>
      </c>
      <c r="AM39" s="6" t="e">
        <f t="shared" si="3"/>
        <v>#N/A</v>
      </c>
      <c r="AN39" s="6">
        <f t="shared" si="5"/>
        <v>0</v>
      </c>
    </row>
    <row r="40" spans="2:40">
      <c r="R40" s="1">
        <f t="shared" si="7"/>
        <v>34</v>
      </c>
      <c r="S40" s="6">
        <f t="shared" si="8"/>
        <v>90000</v>
      </c>
      <c r="T40" s="13">
        <f t="shared" si="6"/>
        <v>90000</v>
      </c>
      <c r="X40" s="1">
        <v>2006</v>
      </c>
      <c r="Y40" s="9">
        <v>94200</v>
      </c>
      <c r="Z40" s="6">
        <f>ROUNDDOWN(AVERAGE(Y6:Y40)/12,0)*12</f>
        <v>48816</v>
      </c>
      <c r="AE40" s="64">
        <v>59</v>
      </c>
      <c r="AF40" s="65">
        <v>0.49070000000000003</v>
      </c>
      <c r="AI40" s="34"/>
      <c r="AK40" s="8" t="e">
        <f t="shared" si="4"/>
        <v>#N/A</v>
      </c>
      <c r="AL40" s="6" t="e">
        <f t="shared" ref="AL40:AL71" si="9">VLOOKUP(AK40,$R$8:$S$88,2)</f>
        <v>#N/A</v>
      </c>
      <c r="AM40" s="6" t="e">
        <f t="shared" si="3"/>
        <v>#N/A</v>
      </c>
      <c r="AN40" s="6">
        <f t="shared" si="5"/>
        <v>0</v>
      </c>
    </row>
    <row r="41" spans="2:40">
      <c r="R41" s="1">
        <f t="shared" si="7"/>
        <v>35</v>
      </c>
      <c r="S41" s="6">
        <f t="shared" si="8"/>
        <v>90000</v>
      </c>
      <c r="T41" s="13">
        <f t="shared" si="6"/>
        <v>90000</v>
      </c>
      <c r="X41" s="1">
        <v>2007</v>
      </c>
      <c r="Y41" s="9">
        <v>97500</v>
      </c>
      <c r="Z41" s="6">
        <f t="shared" ref="Z41:Z104" si="10">ROUNDDOWN(AVERAGE(Y7:Y41)/12,0)*12</f>
        <v>51348</v>
      </c>
      <c r="AA41" s="6">
        <f>AVERAGE(Y6:Y40)</f>
        <v>48820</v>
      </c>
      <c r="AB41" s="6"/>
      <c r="AE41" s="64">
        <v>60</v>
      </c>
      <c r="AF41" s="65">
        <v>0.54930000000000001</v>
      </c>
      <c r="AI41" s="34"/>
      <c r="AK41" s="8" t="e">
        <f t="shared" si="4"/>
        <v>#N/A</v>
      </c>
      <c r="AL41" s="6" t="e">
        <f t="shared" si="9"/>
        <v>#N/A</v>
      </c>
      <c r="AM41" s="6" t="e">
        <f t="shared" si="3"/>
        <v>#N/A</v>
      </c>
      <c r="AN41" s="6">
        <f t="shared" si="5"/>
        <v>0</v>
      </c>
    </row>
    <row r="42" spans="2:40">
      <c r="R42" s="1">
        <f t="shared" si="7"/>
        <v>36</v>
      </c>
      <c r="S42" s="6">
        <f t="shared" si="8"/>
        <v>90000</v>
      </c>
      <c r="T42" s="13">
        <f t="shared" si="6"/>
        <v>90000</v>
      </c>
      <c r="X42" s="1">
        <v>2008</v>
      </c>
      <c r="Y42" s="9">
        <v>102000</v>
      </c>
      <c r="Z42" s="6">
        <f t="shared" si="10"/>
        <v>53952</v>
      </c>
      <c r="AA42" s="6">
        <f t="shared" ref="AA42:AA50" si="11">AVERAGE(Y7:Y41)</f>
        <v>51348.571428571428</v>
      </c>
      <c r="AE42" s="64">
        <v>61</v>
      </c>
      <c r="AF42" s="65">
        <v>0.61629999999999996</v>
      </c>
      <c r="AI42" s="34"/>
      <c r="AK42" s="8" t="e">
        <f t="shared" si="4"/>
        <v>#N/A</v>
      </c>
      <c r="AL42" s="6" t="e">
        <f t="shared" si="9"/>
        <v>#N/A</v>
      </c>
      <c r="AM42" s="6" t="e">
        <f t="shared" si="3"/>
        <v>#N/A</v>
      </c>
      <c r="AN42" s="6">
        <f t="shared" si="5"/>
        <v>0</v>
      </c>
    </row>
    <row r="43" spans="2:40">
      <c r="R43" s="1">
        <f t="shared" si="7"/>
        <v>37</v>
      </c>
      <c r="S43" s="6">
        <f t="shared" si="8"/>
        <v>90000</v>
      </c>
      <c r="T43" s="13">
        <f t="shared" ref="T43:T74" si="12">IF(R43&gt;$C$12-1,"",AVERAGE(S39:S43))</f>
        <v>90000</v>
      </c>
      <c r="X43" s="1">
        <v>2009</v>
      </c>
      <c r="Y43" s="9">
        <v>106800</v>
      </c>
      <c r="Z43" s="6">
        <f t="shared" si="10"/>
        <v>56628</v>
      </c>
      <c r="AA43" s="6">
        <f t="shared" si="11"/>
        <v>53954.285714285717</v>
      </c>
      <c r="AE43" s="64">
        <v>62</v>
      </c>
      <c r="AF43" s="65">
        <v>0.69289999999999996</v>
      </c>
      <c r="AI43" s="34"/>
      <c r="AK43" s="8" t="e">
        <f t="shared" si="4"/>
        <v>#N/A</v>
      </c>
      <c r="AL43" s="6" t="e">
        <f t="shared" si="9"/>
        <v>#N/A</v>
      </c>
      <c r="AM43" s="6" t="e">
        <f t="shared" si="3"/>
        <v>#N/A</v>
      </c>
      <c r="AN43" s="6">
        <f t="shared" si="5"/>
        <v>0</v>
      </c>
    </row>
    <row r="44" spans="2:40">
      <c r="R44" s="1">
        <f t="shared" si="7"/>
        <v>38</v>
      </c>
      <c r="S44" s="6">
        <f t="shared" si="8"/>
        <v>90000</v>
      </c>
      <c r="T44" s="13">
        <f t="shared" si="12"/>
        <v>90000</v>
      </c>
      <c r="X44" s="1">
        <v>2010</v>
      </c>
      <c r="Y44" s="9">
        <v>106800</v>
      </c>
      <c r="Z44" s="6">
        <f t="shared" si="10"/>
        <v>59268</v>
      </c>
      <c r="AA44" s="6">
        <f t="shared" si="11"/>
        <v>56628.571428571428</v>
      </c>
      <c r="AE44" s="64">
        <v>63</v>
      </c>
      <c r="AF44" s="65">
        <v>0.78100000000000003</v>
      </c>
      <c r="AI44" s="34"/>
      <c r="AK44" s="8" t="e">
        <f t="shared" si="4"/>
        <v>#N/A</v>
      </c>
      <c r="AL44" s="6" t="e">
        <f t="shared" si="9"/>
        <v>#N/A</v>
      </c>
      <c r="AM44" s="6" t="e">
        <f t="shared" si="3"/>
        <v>#N/A</v>
      </c>
      <c r="AN44" s="6">
        <f t="shared" si="5"/>
        <v>0</v>
      </c>
    </row>
    <row r="45" spans="2:40">
      <c r="R45" s="1">
        <f t="shared" si="7"/>
        <v>39</v>
      </c>
      <c r="S45" s="6">
        <f t="shared" si="8"/>
        <v>90000</v>
      </c>
      <c r="T45" s="13">
        <f t="shared" si="12"/>
        <v>90000</v>
      </c>
      <c r="X45" s="1">
        <v>2011</v>
      </c>
      <c r="Y45" s="9">
        <v>106800</v>
      </c>
      <c r="Z45" s="6">
        <f t="shared" si="10"/>
        <v>61884</v>
      </c>
      <c r="AA45" s="6">
        <f t="shared" si="11"/>
        <v>59277.142857142855</v>
      </c>
      <c r="AE45" s="64">
        <v>64</v>
      </c>
      <c r="AF45" s="65">
        <v>0.88249999999999995</v>
      </c>
      <c r="AI45" s="34"/>
      <c r="AK45" s="8" t="e">
        <f t="shared" si="4"/>
        <v>#N/A</v>
      </c>
      <c r="AL45" s="6" t="e">
        <f t="shared" si="9"/>
        <v>#N/A</v>
      </c>
      <c r="AM45" s="6" t="e">
        <f t="shared" si="3"/>
        <v>#N/A</v>
      </c>
      <c r="AN45" s="6">
        <f t="shared" si="5"/>
        <v>0</v>
      </c>
    </row>
    <row r="46" spans="2:40">
      <c r="R46" s="1">
        <f t="shared" si="7"/>
        <v>40</v>
      </c>
      <c r="S46" s="6">
        <f t="shared" si="8"/>
        <v>90000</v>
      </c>
      <c r="T46" s="13">
        <f t="shared" si="12"/>
        <v>90000</v>
      </c>
      <c r="X46" s="1">
        <v>2012</v>
      </c>
      <c r="Y46" s="9">
        <v>110100</v>
      </c>
      <c r="Z46" s="6">
        <f t="shared" si="10"/>
        <v>64560</v>
      </c>
      <c r="AA46" s="6">
        <f t="shared" si="11"/>
        <v>61891.428571428572</v>
      </c>
      <c r="AE46" s="64">
        <v>65</v>
      </c>
      <c r="AF46" s="65">
        <v>1</v>
      </c>
      <c r="AI46" s="34"/>
      <c r="AK46" s="8" t="e">
        <f t="shared" si="4"/>
        <v>#N/A</v>
      </c>
      <c r="AL46" s="6" t="e">
        <f t="shared" si="9"/>
        <v>#N/A</v>
      </c>
      <c r="AM46" s="6" t="e">
        <f t="shared" si="3"/>
        <v>#N/A</v>
      </c>
      <c r="AN46" s="6">
        <f t="shared" si="5"/>
        <v>0</v>
      </c>
    </row>
    <row r="47" spans="2:40">
      <c r="R47" s="1">
        <f t="shared" si="7"/>
        <v>41</v>
      </c>
      <c r="S47" s="6">
        <f t="shared" si="8"/>
        <v>90000</v>
      </c>
      <c r="T47" s="13">
        <f t="shared" si="12"/>
        <v>90000</v>
      </c>
      <c r="X47" s="1">
        <v>2013</v>
      </c>
      <c r="Y47" s="9">
        <v>113700</v>
      </c>
      <c r="Z47" s="6">
        <f t="shared" si="10"/>
        <v>67308</v>
      </c>
      <c r="AA47" s="6">
        <f t="shared" si="11"/>
        <v>64565.714285714283</v>
      </c>
      <c r="AE47" s="36"/>
      <c r="AF47" s="37"/>
      <c r="AG47" s="37"/>
      <c r="AH47" s="37"/>
      <c r="AI47" s="38"/>
      <c r="AK47" s="8" t="e">
        <f t="shared" si="4"/>
        <v>#N/A</v>
      </c>
      <c r="AL47" s="6" t="e">
        <f t="shared" si="9"/>
        <v>#N/A</v>
      </c>
      <c r="AM47" s="6" t="e">
        <f t="shared" si="3"/>
        <v>#N/A</v>
      </c>
      <c r="AN47" s="6">
        <f t="shared" si="5"/>
        <v>0</v>
      </c>
    </row>
    <row r="48" spans="2:40">
      <c r="R48" s="1">
        <f t="shared" si="7"/>
        <v>42</v>
      </c>
      <c r="S48" s="6">
        <f t="shared" si="8"/>
        <v>90000</v>
      </c>
      <c r="T48" s="13">
        <f t="shared" si="12"/>
        <v>90000</v>
      </c>
      <c r="X48" s="1">
        <v>2014</v>
      </c>
      <c r="Y48" s="9">
        <v>117000</v>
      </c>
      <c r="Z48" s="6">
        <f t="shared" si="10"/>
        <v>69996</v>
      </c>
      <c r="AA48" s="6">
        <f t="shared" si="11"/>
        <v>67308.571428571435</v>
      </c>
      <c r="AK48" s="8" t="e">
        <f t="shared" si="4"/>
        <v>#N/A</v>
      </c>
      <c r="AL48" s="6" t="e">
        <f t="shared" si="9"/>
        <v>#N/A</v>
      </c>
      <c r="AM48" s="6" t="e">
        <f t="shared" si="3"/>
        <v>#N/A</v>
      </c>
      <c r="AN48" s="6">
        <f t="shared" si="5"/>
        <v>0</v>
      </c>
    </row>
    <row r="49" spans="18:40">
      <c r="R49" s="1">
        <f t="shared" si="7"/>
        <v>43</v>
      </c>
      <c r="S49" s="6">
        <f t="shared" si="8"/>
        <v>90000</v>
      </c>
      <c r="T49" s="13">
        <f t="shared" si="12"/>
        <v>90000</v>
      </c>
      <c r="X49" s="1">
        <v>2015</v>
      </c>
      <c r="Y49" s="9">
        <v>118500</v>
      </c>
      <c r="Z49" s="6">
        <f t="shared" si="10"/>
        <v>72636</v>
      </c>
      <c r="AA49" s="6">
        <f t="shared" si="11"/>
        <v>69997.142857142855</v>
      </c>
      <c r="AK49" s="8" t="e">
        <f t="shared" si="4"/>
        <v>#N/A</v>
      </c>
      <c r="AL49" s="6" t="e">
        <f t="shared" si="9"/>
        <v>#N/A</v>
      </c>
      <c r="AM49" s="6" t="e">
        <f t="shared" si="3"/>
        <v>#N/A</v>
      </c>
      <c r="AN49" s="6">
        <f t="shared" si="5"/>
        <v>0</v>
      </c>
    </row>
    <row r="50" spans="18:40">
      <c r="R50" s="1">
        <f t="shared" si="7"/>
        <v>44</v>
      </c>
      <c r="S50" s="6">
        <f t="shared" si="8"/>
        <v>90000</v>
      </c>
      <c r="T50" s="13">
        <f t="shared" si="12"/>
        <v>90000</v>
      </c>
      <c r="X50" s="1">
        <f>X49+1</f>
        <v>2016</v>
      </c>
      <c r="Y50" s="10">
        <f>ROUND(118500*(1+$G$9)^MIN($C$12-$C$9,X50-$X$50)/300,0)*300</f>
        <v>118500</v>
      </c>
      <c r="Z50" s="6">
        <f t="shared" si="10"/>
        <v>75180</v>
      </c>
      <c r="AA50" s="6">
        <f t="shared" si="11"/>
        <v>72642.857142857145</v>
      </c>
      <c r="AK50" s="8" t="e">
        <f t="shared" si="4"/>
        <v>#N/A</v>
      </c>
      <c r="AL50" s="6" t="e">
        <f t="shared" si="9"/>
        <v>#N/A</v>
      </c>
      <c r="AM50" s="6" t="e">
        <f t="shared" si="3"/>
        <v>#N/A</v>
      </c>
      <c r="AN50" s="6">
        <f t="shared" si="5"/>
        <v>0</v>
      </c>
    </row>
    <row r="51" spans="18:40">
      <c r="R51" s="1">
        <f t="shared" si="7"/>
        <v>45</v>
      </c>
      <c r="S51" s="6">
        <f t="shared" si="8"/>
        <v>90000</v>
      </c>
      <c r="T51" s="13">
        <f t="shared" si="12"/>
        <v>90000</v>
      </c>
      <c r="X51" s="1">
        <f t="shared" ref="X51:X104" si="13">X50+1</f>
        <v>2017</v>
      </c>
      <c r="Y51" s="10">
        <f t="shared" ref="Y51:Y104" si="14">ROUND(118500*(1+$G$9)^MIN($C$12-$C$9,X51-$X$50)/300,0)*300</f>
        <v>120900</v>
      </c>
      <c r="Z51" s="6">
        <f t="shared" si="10"/>
        <v>77700</v>
      </c>
      <c r="AA51" s="14">
        <f>MIN($Y$50,(SUM(Y16:Y$49)+(X51-$X$50)*$Y$50)/35)</f>
        <v>75180</v>
      </c>
      <c r="AK51" s="8" t="e">
        <f t="shared" si="4"/>
        <v>#N/A</v>
      </c>
      <c r="AL51" s="6" t="e">
        <f t="shared" si="9"/>
        <v>#N/A</v>
      </c>
      <c r="AM51" s="6" t="e">
        <f t="shared" si="3"/>
        <v>#N/A</v>
      </c>
      <c r="AN51" s="6">
        <f t="shared" si="5"/>
        <v>0</v>
      </c>
    </row>
    <row r="52" spans="18:40">
      <c r="R52" s="1">
        <f t="shared" si="7"/>
        <v>46</v>
      </c>
      <c r="S52" s="6">
        <f t="shared" si="8"/>
        <v>90000</v>
      </c>
      <c r="T52" s="13">
        <f t="shared" si="12"/>
        <v>90000</v>
      </c>
      <c r="X52" s="1">
        <f t="shared" si="13"/>
        <v>2018</v>
      </c>
      <c r="Y52" s="10">
        <f t="shared" si="14"/>
        <v>123300</v>
      </c>
      <c r="Z52" s="6">
        <f t="shared" si="10"/>
        <v>80208</v>
      </c>
      <c r="AA52" s="14">
        <f>MIN($Y$50,(SUM(Y17:Y$49)+(X52-$X$50)*$Y$50)/35)</f>
        <v>77640</v>
      </c>
      <c r="AK52" s="8" t="e">
        <f t="shared" si="4"/>
        <v>#N/A</v>
      </c>
      <c r="AL52" s="6" t="e">
        <f t="shared" si="9"/>
        <v>#N/A</v>
      </c>
      <c r="AM52" s="6" t="e">
        <f t="shared" si="3"/>
        <v>#N/A</v>
      </c>
      <c r="AN52" s="6">
        <f t="shared" si="5"/>
        <v>0</v>
      </c>
    </row>
    <row r="53" spans="18:40">
      <c r="R53" s="1">
        <f t="shared" si="7"/>
        <v>47</v>
      </c>
      <c r="S53" s="6">
        <f t="shared" si="8"/>
        <v>90000</v>
      </c>
      <c r="T53" s="13">
        <f t="shared" si="12"/>
        <v>90000</v>
      </c>
      <c r="X53" s="1">
        <f t="shared" si="13"/>
        <v>2019</v>
      </c>
      <c r="Y53" s="10">
        <f t="shared" si="14"/>
        <v>125700</v>
      </c>
      <c r="Z53" s="6">
        <f t="shared" si="10"/>
        <v>82716</v>
      </c>
      <c r="AA53" s="14">
        <f>MIN($Y$50,(SUM(Y18:Y$49)+(X53-$X$50)*$Y$50)/35)</f>
        <v>80005.71428571429</v>
      </c>
      <c r="AK53" s="8" t="e">
        <f t="shared" si="4"/>
        <v>#N/A</v>
      </c>
      <c r="AL53" s="6" t="e">
        <f t="shared" si="9"/>
        <v>#N/A</v>
      </c>
      <c r="AM53" s="6" t="e">
        <f t="shared" si="3"/>
        <v>#N/A</v>
      </c>
      <c r="AN53" s="6">
        <f t="shared" si="5"/>
        <v>0</v>
      </c>
    </row>
    <row r="54" spans="18:40">
      <c r="R54" s="1">
        <f t="shared" si="7"/>
        <v>48</v>
      </c>
      <c r="S54" s="6">
        <f t="shared" si="8"/>
        <v>90000</v>
      </c>
      <c r="T54" s="13">
        <f t="shared" si="12"/>
        <v>90000</v>
      </c>
      <c r="X54" s="1">
        <f t="shared" si="13"/>
        <v>2020</v>
      </c>
      <c r="Y54" s="10">
        <f t="shared" si="14"/>
        <v>128400</v>
      </c>
      <c r="Z54" s="6">
        <f t="shared" si="10"/>
        <v>85260</v>
      </c>
      <c r="AA54" s="14">
        <f>MIN($Y$50,(SUM(Y19:Y$49)+(X54-$X$50)*$Y$50)/35)</f>
        <v>82311.428571428565</v>
      </c>
      <c r="AK54" s="8" t="e">
        <f t="shared" si="4"/>
        <v>#N/A</v>
      </c>
      <c r="AL54" s="6" t="e">
        <f t="shared" si="9"/>
        <v>#N/A</v>
      </c>
      <c r="AM54" s="6" t="e">
        <f t="shared" si="3"/>
        <v>#N/A</v>
      </c>
      <c r="AN54" s="6">
        <f t="shared" si="5"/>
        <v>0</v>
      </c>
    </row>
    <row r="55" spans="18:40">
      <c r="R55" s="1">
        <f t="shared" si="7"/>
        <v>49</v>
      </c>
      <c r="S55" s="6">
        <f t="shared" si="8"/>
        <v>90000</v>
      </c>
      <c r="T55" s="13">
        <f t="shared" si="12"/>
        <v>90000</v>
      </c>
      <c r="X55" s="1">
        <f t="shared" si="13"/>
        <v>2021</v>
      </c>
      <c r="Y55" s="10">
        <f t="shared" si="14"/>
        <v>130800</v>
      </c>
      <c r="Z55" s="6">
        <f t="shared" si="10"/>
        <v>87792</v>
      </c>
      <c r="AA55" s="14">
        <f>MIN($Y$50,(SUM(Y20:Y$49)+(X55-$X$50)*$Y$50)/35)</f>
        <v>84565.71428571429</v>
      </c>
      <c r="AK55" s="8" t="e">
        <f t="shared" si="4"/>
        <v>#N/A</v>
      </c>
      <c r="AL55" s="6" t="e">
        <f t="shared" si="9"/>
        <v>#N/A</v>
      </c>
      <c r="AM55" s="6" t="e">
        <f t="shared" si="3"/>
        <v>#N/A</v>
      </c>
      <c r="AN55" s="6">
        <f t="shared" si="5"/>
        <v>0</v>
      </c>
    </row>
    <row r="56" spans="18:40">
      <c r="R56" s="1">
        <f t="shared" si="7"/>
        <v>50</v>
      </c>
      <c r="S56" s="6">
        <f t="shared" si="8"/>
        <v>110000</v>
      </c>
      <c r="T56" s="13">
        <f t="shared" si="12"/>
        <v>94000</v>
      </c>
      <c r="X56" s="1">
        <f t="shared" si="13"/>
        <v>2022</v>
      </c>
      <c r="Y56" s="10">
        <f t="shared" si="14"/>
        <v>133500</v>
      </c>
      <c r="Z56" s="6">
        <f t="shared" si="10"/>
        <v>90360</v>
      </c>
      <c r="AA56" s="14">
        <f>MIN($Y$50,(SUM(Y21:Y$49)+(X56-$X$50)*$Y$50)/35)</f>
        <v>86751.428571428565</v>
      </c>
      <c r="AK56" s="8" t="e">
        <f t="shared" si="4"/>
        <v>#N/A</v>
      </c>
      <c r="AL56" s="6" t="e">
        <f t="shared" si="9"/>
        <v>#N/A</v>
      </c>
      <c r="AM56" s="6" t="e">
        <f t="shared" si="3"/>
        <v>#N/A</v>
      </c>
      <c r="AN56" s="6">
        <f t="shared" si="5"/>
        <v>0</v>
      </c>
    </row>
    <row r="57" spans="18:40">
      <c r="R57" s="1">
        <f t="shared" si="7"/>
        <v>51</v>
      </c>
      <c r="S57" s="6">
        <f t="shared" si="8"/>
        <v>112200</v>
      </c>
      <c r="T57" s="13">
        <f t="shared" si="12"/>
        <v>98440</v>
      </c>
      <c r="X57" s="1">
        <f t="shared" si="13"/>
        <v>2023</v>
      </c>
      <c r="Y57" s="10">
        <f t="shared" si="14"/>
        <v>136200</v>
      </c>
      <c r="Z57" s="6">
        <f t="shared" si="10"/>
        <v>92964</v>
      </c>
      <c r="AA57" s="14">
        <f>MIN($Y$50,(SUM(Y22:Y$49)+(X57-$X$50)*$Y$50)/35)</f>
        <v>88885.71428571429</v>
      </c>
      <c r="AK57" s="8" t="e">
        <f t="shared" si="4"/>
        <v>#N/A</v>
      </c>
      <c r="AL57" s="6" t="e">
        <f t="shared" si="9"/>
        <v>#N/A</v>
      </c>
      <c r="AM57" s="6" t="e">
        <f t="shared" si="3"/>
        <v>#N/A</v>
      </c>
      <c r="AN57" s="6">
        <f t="shared" si="5"/>
        <v>0</v>
      </c>
    </row>
    <row r="58" spans="18:40">
      <c r="R58" s="1">
        <f t="shared" si="7"/>
        <v>52</v>
      </c>
      <c r="S58" s="6">
        <f t="shared" si="8"/>
        <v>114444</v>
      </c>
      <c r="T58" s="13">
        <f t="shared" si="12"/>
        <v>103328.8</v>
      </c>
      <c r="X58" s="1">
        <f t="shared" si="13"/>
        <v>2024</v>
      </c>
      <c r="Y58" s="10">
        <f t="shared" si="14"/>
        <v>138900</v>
      </c>
      <c r="Z58" s="6">
        <f t="shared" si="10"/>
        <v>95556</v>
      </c>
      <c r="AA58" s="14">
        <f>MIN($Y$50,(SUM(Y23:Y$49)+(X58-$X$50)*$Y$50)/35)</f>
        <v>90985.71428571429</v>
      </c>
      <c r="AK58" s="8" t="e">
        <f t="shared" si="4"/>
        <v>#N/A</v>
      </c>
      <c r="AL58" s="6" t="e">
        <f t="shared" si="9"/>
        <v>#N/A</v>
      </c>
      <c r="AM58" s="6" t="e">
        <f t="shared" si="3"/>
        <v>#N/A</v>
      </c>
      <c r="AN58" s="6">
        <f t="shared" si="5"/>
        <v>0</v>
      </c>
    </row>
    <row r="59" spans="18:40">
      <c r="R59" s="1">
        <f t="shared" si="7"/>
        <v>53</v>
      </c>
      <c r="S59" s="6">
        <f t="shared" si="8"/>
        <v>116732.88</v>
      </c>
      <c r="T59" s="13">
        <f t="shared" si="12"/>
        <v>108675.376</v>
      </c>
      <c r="X59" s="1">
        <f t="shared" si="13"/>
        <v>2025</v>
      </c>
      <c r="Y59" s="10">
        <f t="shared" si="14"/>
        <v>141600</v>
      </c>
      <c r="Z59" s="6">
        <f t="shared" si="10"/>
        <v>98136</v>
      </c>
      <c r="AA59" s="14">
        <f>MIN($Y$50,(SUM(Y24:Y$49)+(X59-$X$50)*$Y$50)/35)</f>
        <v>93000</v>
      </c>
      <c r="AK59" s="8" t="e">
        <f t="shared" si="4"/>
        <v>#N/A</v>
      </c>
      <c r="AL59" s="6" t="e">
        <f t="shared" si="9"/>
        <v>#N/A</v>
      </c>
      <c r="AM59" s="6" t="e">
        <f t="shared" si="3"/>
        <v>#N/A</v>
      </c>
      <c r="AN59" s="6">
        <f t="shared" si="5"/>
        <v>0</v>
      </c>
    </row>
    <row r="60" spans="18:40">
      <c r="R60" s="1">
        <f t="shared" si="7"/>
        <v>54</v>
      </c>
      <c r="S60" s="6">
        <f t="shared" si="8"/>
        <v>119067.53760000001</v>
      </c>
      <c r="T60" s="13">
        <f t="shared" si="12"/>
        <v>114488.88352</v>
      </c>
      <c r="X60" s="1">
        <f t="shared" si="13"/>
        <v>2026</v>
      </c>
      <c r="Y60" s="10">
        <f t="shared" si="14"/>
        <v>144600</v>
      </c>
      <c r="Z60" s="6">
        <f t="shared" si="10"/>
        <v>100740</v>
      </c>
      <c r="AA60" s="14">
        <f>MIN($Y$50,(SUM(Y25:Y$49)+(X60-$X$50)*$Y$50)/35)</f>
        <v>94920</v>
      </c>
      <c r="AK60" s="8" t="e">
        <f t="shared" si="4"/>
        <v>#N/A</v>
      </c>
      <c r="AL60" s="6" t="e">
        <f t="shared" si="9"/>
        <v>#N/A</v>
      </c>
      <c r="AM60" s="6" t="e">
        <f t="shared" si="3"/>
        <v>#N/A</v>
      </c>
      <c r="AN60" s="6">
        <f t="shared" si="5"/>
        <v>0</v>
      </c>
    </row>
    <row r="61" spans="18:40">
      <c r="R61" s="1">
        <f t="shared" si="7"/>
        <v>55</v>
      </c>
      <c r="S61" s="6">
        <f t="shared" si="8"/>
        <v>121448.88835200001</v>
      </c>
      <c r="T61" s="13">
        <f t="shared" si="12"/>
        <v>116778.66119040002</v>
      </c>
      <c r="X61" s="1">
        <f t="shared" si="13"/>
        <v>2027</v>
      </c>
      <c r="Y61" s="10">
        <f t="shared" si="14"/>
        <v>147300</v>
      </c>
      <c r="Z61" s="6">
        <f t="shared" si="10"/>
        <v>103368</v>
      </c>
      <c r="AA61" s="14">
        <f>MIN($Y$50,(SUM(Y26:Y$49)+(X61-$X$50)*$Y$50)/35)</f>
        <v>96780</v>
      </c>
      <c r="AK61" s="8" t="e">
        <f t="shared" si="4"/>
        <v>#N/A</v>
      </c>
      <c r="AL61" s="6" t="e">
        <f t="shared" si="9"/>
        <v>#N/A</v>
      </c>
      <c r="AM61" s="6" t="e">
        <f t="shared" si="3"/>
        <v>#N/A</v>
      </c>
      <c r="AN61" s="6">
        <f t="shared" si="5"/>
        <v>0</v>
      </c>
    </row>
    <row r="62" spans="18:40">
      <c r="R62" s="1">
        <f t="shared" si="7"/>
        <v>56</v>
      </c>
      <c r="S62" s="6">
        <f t="shared" si="8"/>
        <v>123877.86611904002</v>
      </c>
      <c r="T62" s="13">
        <f t="shared" si="12"/>
        <v>119114.23441420803</v>
      </c>
      <c r="X62" s="1">
        <f t="shared" si="13"/>
        <v>2028</v>
      </c>
      <c r="Y62" s="10">
        <f t="shared" si="14"/>
        <v>150300</v>
      </c>
      <c r="Z62" s="6">
        <f t="shared" si="10"/>
        <v>106020</v>
      </c>
      <c r="AA62" s="14">
        <f>MIN($Y$50,(SUM(Y27:Y$49)+(X62-$X$50)*$Y$50)/35)</f>
        <v>98580</v>
      </c>
      <c r="AK62" s="8" t="e">
        <f t="shared" si="4"/>
        <v>#N/A</v>
      </c>
      <c r="AL62" s="6" t="e">
        <f t="shared" si="9"/>
        <v>#N/A</v>
      </c>
      <c r="AM62" s="6" t="e">
        <f t="shared" si="3"/>
        <v>#N/A</v>
      </c>
      <c r="AN62" s="6">
        <f t="shared" si="5"/>
        <v>0</v>
      </c>
    </row>
    <row r="63" spans="18:40">
      <c r="R63" s="1">
        <f t="shared" si="7"/>
        <v>57</v>
      </c>
      <c r="S63" s="6">
        <f t="shared" si="8"/>
        <v>126355.42344142082</v>
      </c>
      <c r="T63" s="13">
        <f t="shared" si="12"/>
        <v>121496.51910249217</v>
      </c>
      <c r="X63" s="1">
        <f t="shared" si="13"/>
        <v>2029</v>
      </c>
      <c r="Y63" s="10">
        <f t="shared" si="14"/>
        <v>153300</v>
      </c>
      <c r="Z63" s="6">
        <f t="shared" si="10"/>
        <v>108660</v>
      </c>
      <c r="AA63" s="14">
        <f>MIN($Y$50,(SUM(Y28:Y$49)+(X63-$X$50)*$Y$50)/35)</f>
        <v>100320</v>
      </c>
      <c r="AK63" s="8" t="e">
        <f t="shared" si="4"/>
        <v>#N/A</v>
      </c>
      <c r="AL63" s="6" t="e">
        <f t="shared" si="9"/>
        <v>#N/A</v>
      </c>
      <c r="AM63" s="6" t="e">
        <f t="shared" si="3"/>
        <v>#N/A</v>
      </c>
      <c r="AN63" s="6">
        <f t="shared" si="5"/>
        <v>0</v>
      </c>
    </row>
    <row r="64" spans="18:40">
      <c r="R64" s="1">
        <f t="shared" si="7"/>
        <v>58</v>
      </c>
      <c r="S64" s="6">
        <f t="shared" si="8"/>
        <v>128882.53191024924</v>
      </c>
      <c r="T64" s="13">
        <f t="shared" si="12"/>
        <v>123926.44948454201</v>
      </c>
      <c r="X64" s="1">
        <f t="shared" si="13"/>
        <v>2030</v>
      </c>
      <c r="Y64" s="10">
        <f t="shared" si="14"/>
        <v>156300</v>
      </c>
      <c r="Z64" s="6">
        <f t="shared" si="10"/>
        <v>111384</v>
      </c>
      <c r="AA64" s="14">
        <f>MIN($Y$50,(SUM(Y29:Y$49)+(X64-$X$50)*$Y$50)/35)</f>
        <v>101974.28571428571</v>
      </c>
      <c r="AK64" s="8" t="e">
        <f t="shared" si="4"/>
        <v>#N/A</v>
      </c>
      <c r="AL64" s="6" t="e">
        <f t="shared" si="9"/>
        <v>#N/A</v>
      </c>
      <c r="AM64" s="6" t="e">
        <f t="shared" si="3"/>
        <v>#N/A</v>
      </c>
      <c r="AN64" s="6">
        <f t="shared" si="5"/>
        <v>0</v>
      </c>
    </row>
    <row r="65" spans="18:40">
      <c r="R65" s="1">
        <f t="shared" si="7"/>
        <v>59</v>
      </c>
      <c r="S65" s="6">
        <f t="shared" si="8"/>
        <v>131460.18254845424</v>
      </c>
      <c r="T65" s="13">
        <f t="shared" si="12"/>
        <v>126404.97847423288</v>
      </c>
      <c r="X65" s="1">
        <f t="shared" si="13"/>
        <v>2031</v>
      </c>
      <c r="Y65" s="10">
        <f t="shared" si="14"/>
        <v>159600</v>
      </c>
      <c r="Z65" s="6">
        <f t="shared" si="10"/>
        <v>114144</v>
      </c>
      <c r="AA65" s="14">
        <f>MIN($Y$50,(SUM(Y30:Y$49)+(X65-$X$50)*$Y$50)/35)</f>
        <v>103611.42857142857</v>
      </c>
      <c r="AK65" s="8" t="e">
        <f t="shared" si="4"/>
        <v>#N/A</v>
      </c>
      <c r="AL65" s="6" t="e">
        <f t="shared" si="9"/>
        <v>#N/A</v>
      </c>
      <c r="AM65" s="6" t="e">
        <f t="shared" si="3"/>
        <v>#N/A</v>
      </c>
      <c r="AN65" s="6">
        <f t="shared" si="5"/>
        <v>0</v>
      </c>
    </row>
    <row r="66" spans="18:40">
      <c r="R66" s="1">
        <f t="shared" si="7"/>
        <v>60</v>
      </c>
      <c r="S66" s="6">
        <f t="shared" si="8"/>
        <v>134089.38619942332</v>
      </c>
      <c r="T66" s="13">
        <f t="shared" si="12"/>
        <v>128933.07804371754</v>
      </c>
      <c r="X66" s="1">
        <f t="shared" si="13"/>
        <v>2032</v>
      </c>
      <c r="Y66" s="10">
        <f t="shared" si="14"/>
        <v>159600</v>
      </c>
      <c r="Z66" s="6">
        <f t="shared" si="10"/>
        <v>116844</v>
      </c>
      <c r="AA66" s="14">
        <f>MIN($Y$50,(SUM(Y31:Y$49)+(X66-$X$50)*$Y$50)/35)</f>
        <v>105205.71428571429</v>
      </c>
      <c r="AK66" s="8" t="e">
        <f t="shared" si="4"/>
        <v>#N/A</v>
      </c>
      <c r="AL66" s="6" t="e">
        <f t="shared" si="9"/>
        <v>#N/A</v>
      </c>
      <c r="AM66" s="6" t="e">
        <f t="shared" si="3"/>
        <v>#N/A</v>
      </c>
      <c r="AN66" s="6">
        <f t="shared" si="5"/>
        <v>0</v>
      </c>
    </row>
    <row r="67" spans="18:40">
      <c r="R67" s="1">
        <f t="shared" si="7"/>
        <v>61</v>
      </c>
      <c r="S67" s="6">
        <f t="shared" si="8"/>
        <v>136771.17392341178</v>
      </c>
      <c r="T67" s="13">
        <f t="shared" si="12"/>
        <v>131511.73960459189</v>
      </c>
      <c r="X67" s="1">
        <f t="shared" si="13"/>
        <v>2033</v>
      </c>
      <c r="Y67" s="10">
        <f t="shared" si="14"/>
        <v>159600</v>
      </c>
      <c r="Z67" s="6">
        <f t="shared" si="10"/>
        <v>119448</v>
      </c>
      <c r="AA67" s="14">
        <f>MIN($Y$50,(SUM(Y32:Y$49)+(X67-$X$50)*$Y$50)/35)</f>
        <v>106722.85714285714</v>
      </c>
      <c r="AK67" s="8" t="e">
        <f t="shared" si="4"/>
        <v>#N/A</v>
      </c>
      <c r="AL67" s="6" t="e">
        <f t="shared" si="9"/>
        <v>#N/A</v>
      </c>
      <c r="AM67" s="6" t="e">
        <f t="shared" si="3"/>
        <v>#N/A</v>
      </c>
      <c r="AN67" s="6">
        <f t="shared" si="5"/>
        <v>0</v>
      </c>
    </row>
    <row r="68" spans="18:40">
      <c r="R68" s="1">
        <f t="shared" si="7"/>
        <v>62</v>
      </c>
      <c r="S68" s="6">
        <f t="shared" si="8"/>
        <v>139506.59740188002</v>
      </c>
      <c r="T68" s="13">
        <f t="shared" si="12"/>
        <v>134141.97439668368</v>
      </c>
      <c r="X68" s="1">
        <f t="shared" si="13"/>
        <v>2034</v>
      </c>
      <c r="Y68" s="10">
        <f t="shared" si="14"/>
        <v>159600</v>
      </c>
      <c r="Z68" s="6">
        <f t="shared" si="10"/>
        <v>121932</v>
      </c>
      <c r="AA68" s="14">
        <f>MIN($Y$50,(SUM(Y33:Y$49)+(X68-$X$50)*$Y$50)/35)</f>
        <v>108154.28571428571</v>
      </c>
      <c r="AK68" s="8" t="e">
        <f t="shared" si="4"/>
        <v>#N/A</v>
      </c>
      <c r="AL68" s="6" t="e">
        <f t="shared" si="9"/>
        <v>#N/A</v>
      </c>
      <c r="AM68" s="6" t="e">
        <f t="shared" si="3"/>
        <v>#N/A</v>
      </c>
      <c r="AN68" s="6">
        <f t="shared" si="5"/>
        <v>0</v>
      </c>
    </row>
    <row r="69" spans="18:40">
      <c r="R69" s="1">
        <f t="shared" si="7"/>
        <v>63</v>
      </c>
      <c r="S69" s="6">
        <f t="shared" si="8"/>
        <v>142296.72934991762</v>
      </c>
      <c r="T69" s="13">
        <f t="shared" si="12"/>
        <v>136824.81388461741</v>
      </c>
      <c r="X69" s="1">
        <f t="shared" si="13"/>
        <v>2035</v>
      </c>
      <c r="Y69" s="10">
        <f t="shared" si="14"/>
        <v>159600</v>
      </c>
      <c r="Z69" s="6">
        <f t="shared" si="10"/>
        <v>124320</v>
      </c>
      <c r="AA69" s="14">
        <f>MIN($Y$50,(SUM(Y34:Y$49)+(X69-$X$50)*$Y$50)/35)</f>
        <v>109465.71428571429</v>
      </c>
      <c r="AK69" s="8" t="e">
        <f t="shared" si="4"/>
        <v>#N/A</v>
      </c>
      <c r="AL69" s="6" t="e">
        <f t="shared" si="9"/>
        <v>#N/A</v>
      </c>
      <c r="AM69" s="6" t="e">
        <f t="shared" si="3"/>
        <v>#N/A</v>
      </c>
      <c r="AN69" s="6">
        <f t="shared" si="5"/>
        <v>0</v>
      </c>
    </row>
    <row r="70" spans="18:40">
      <c r="R70" s="1">
        <f t="shared" si="7"/>
        <v>64</v>
      </c>
      <c r="S70" s="6">
        <f t="shared" ref="S70:S88" si="15">IF(R70&lt;C$9,$C$10,IF(R70=C$9,C$11,S69*(1+$G$8)))</f>
        <v>145142.66393691598</v>
      </c>
      <c r="T70" s="13">
        <f t="shared" si="12"/>
        <v>139561.31016230973</v>
      </c>
      <c r="X70" s="1">
        <f t="shared" si="13"/>
        <v>2036</v>
      </c>
      <c r="Y70" s="10">
        <f t="shared" si="14"/>
        <v>159600</v>
      </c>
      <c r="Z70" s="6">
        <f t="shared" si="10"/>
        <v>126576</v>
      </c>
      <c r="AA70" s="14">
        <f>MIN($Y$50,(SUM(Y35:Y$49)+(X70-$X$50)*$Y$50)/35)</f>
        <v>110674.28571428571</v>
      </c>
      <c r="AK70" s="8" t="e">
        <f t="shared" si="4"/>
        <v>#N/A</v>
      </c>
      <c r="AL70" s="6" t="e">
        <f t="shared" si="9"/>
        <v>#N/A</v>
      </c>
      <c r="AM70" s="6" t="e">
        <f t="shared" si="3"/>
        <v>#N/A</v>
      </c>
      <c r="AN70" s="6">
        <f t="shared" si="5"/>
        <v>0</v>
      </c>
    </row>
    <row r="71" spans="18:40">
      <c r="R71" s="1">
        <f t="shared" si="7"/>
        <v>65</v>
      </c>
      <c r="S71" s="6">
        <f t="shared" si="15"/>
        <v>148045.51721565431</v>
      </c>
      <c r="T71" s="13" t="str">
        <f t="shared" si="12"/>
        <v/>
      </c>
      <c r="X71" s="1">
        <f t="shared" si="13"/>
        <v>2037</v>
      </c>
      <c r="Y71" s="10">
        <f t="shared" si="14"/>
        <v>159600</v>
      </c>
      <c r="Z71" s="6">
        <f t="shared" si="10"/>
        <v>128712</v>
      </c>
      <c r="AA71" s="14">
        <f>MIN($Y$50,(SUM(Y36:Y$49)+(X71-$X$50)*$Y$50)/35)</f>
        <v>111762.85714285714</v>
      </c>
      <c r="AK71" s="8" t="e">
        <f t="shared" si="4"/>
        <v>#N/A</v>
      </c>
      <c r="AL71" s="6" t="e">
        <f t="shared" si="9"/>
        <v>#N/A</v>
      </c>
      <c r="AM71" s="6" t="e">
        <f t="shared" si="3"/>
        <v>#N/A</v>
      </c>
      <c r="AN71" s="6">
        <f t="shared" si="5"/>
        <v>0</v>
      </c>
    </row>
    <row r="72" spans="18:40">
      <c r="R72" s="1">
        <f t="shared" si="7"/>
        <v>66</v>
      </c>
      <c r="S72" s="6">
        <f t="shared" si="15"/>
        <v>151006.42755996741</v>
      </c>
      <c r="T72" s="13" t="str">
        <f t="shared" si="12"/>
        <v/>
      </c>
      <c r="X72" s="1">
        <f t="shared" si="13"/>
        <v>2038</v>
      </c>
      <c r="Y72" s="10">
        <f t="shared" si="14"/>
        <v>159600</v>
      </c>
      <c r="Z72" s="6">
        <f t="shared" si="10"/>
        <v>130788</v>
      </c>
      <c r="AA72" s="14">
        <f>MIN($Y$50,(SUM(Y37:Y$49)+(X72-$X$50)*$Y$50)/35)</f>
        <v>112722.85714285714</v>
      </c>
      <c r="AK72" s="8" t="e">
        <f t="shared" si="4"/>
        <v>#N/A</v>
      </c>
      <c r="AL72" s="6" t="e">
        <f t="shared" ref="AL72:AL77" si="16">VLOOKUP(AK72,$R$8:$S$88,2)</f>
        <v>#N/A</v>
      </c>
      <c r="AM72" s="6" t="e">
        <f t="shared" si="3"/>
        <v>#N/A</v>
      </c>
      <c r="AN72" s="6">
        <f t="shared" si="5"/>
        <v>0</v>
      </c>
    </row>
    <row r="73" spans="18:40">
      <c r="R73" s="1">
        <f t="shared" si="7"/>
        <v>67</v>
      </c>
      <c r="S73" s="6">
        <f t="shared" si="15"/>
        <v>154026.55611116678</v>
      </c>
      <c r="T73" s="13" t="str">
        <f t="shared" si="12"/>
        <v/>
      </c>
      <c r="X73" s="1">
        <f t="shared" si="13"/>
        <v>2039</v>
      </c>
      <c r="Y73" s="10">
        <f t="shared" si="14"/>
        <v>159600</v>
      </c>
      <c r="Z73" s="6">
        <f t="shared" si="10"/>
        <v>132840</v>
      </c>
      <c r="AA73" s="14">
        <f>MIN($Y$50,(SUM(Y38:Y$49)+(X73-$X$50)*$Y$50)/35)</f>
        <v>113622.85714285714</v>
      </c>
      <c r="AK73" s="8" t="e">
        <f t="shared" si="4"/>
        <v>#N/A</v>
      </c>
      <c r="AL73" s="6" t="e">
        <f t="shared" si="16"/>
        <v>#N/A</v>
      </c>
      <c r="AM73" s="6" t="e">
        <f t="shared" ref="AM73:AM77" si="17">AL73*$J$8</f>
        <v>#N/A</v>
      </c>
      <c r="AN73" s="6">
        <f t="shared" si="5"/>
        <v>0</v>
      </c>
    </row>
    <row r="74" spans="18:40">
      <c r="R74" s="1">
        <f t="shared" si="7"/>
        <v>68</v>
      </c>
      <c r="S74" s="6">
        <f t="shared" si="15"/>
        <v>157107.08723339011</v>
      </c>
      <c r="T74" s="13" t="str">
        <f t="shared" si="12"/>
        <v/>
      </c>
      <c r="X74" s="1">
        <f t="shared" si="13"/>
        <v>2040</v>
      </c>
      <c r="Y74" s="10">
        <f t="shared" si="14"/>
        <v>159600</v>
      </c>
      <c r="Z74" s="6">
        <f t="shared" si="10"/>
        <v>134820</v>
      </c>
      <c r="AA74" s="14">
        <f>MIN($Y$50,(SUM(Y39:Y$49)+(X74-$X$50)*$Y$50)/35)</f>
        <v>114497.14285714286</v>
      </c>
      <c r="AK74" s="8" t="e">
        <f t="shared" ref="AK74:AK77" si="18">IF(AK73+1&gt;=$C$12,NA(),AK73+1)</f>
        <v>#N/A</v>
      </c>
      <c r="AL74" s="6" t="e">
        <f t="shared" si="16"/>
        <v>#N/A</v>
      </c>
      <c r="AM74" s="6" t="e">
        <f t="shared" si="17"/>
        <v>#N/A</v>
      </c>
      <c r="AN74" s="6">
        <f t="shared" ref="AN74:AN77" si="19">IFERROR(AM74+AN73*(1+$J$13),0)</f>
        <v>0</v>
      </c>
    </row>
    <row r="75" spans="18:40">
      <c r="R75" s="1">
        <f t="shared" si="7"/>
        <v>69</v>
      </c>
      <c r="S75" s="6">
        <f t="shared" si="15"/>
        <v>160249.22897805792</v>
      </c>
      <c r="T75" s="13" t="str">
        <f t="shared" ref="T75:T88" si="20">IF(R75&gt;$C$12-1,"",AVERAGE(S71:S75))</f>
        <v/>
      </c>
      <c r="X75" s="1">
        <f t="shared" si="13"/>
        <v>2041</v>
      </c>
      <c r="Y75" s="10">
        <f t="shared" si="14"/>
        <v>159600</v>
      </c>
      <c r="Z75" s="6">
        <f t="shared" si="10"/>
        <v>136692</v>
      </c>
      <c r="AA75" s="14">
        <f>MIN($Y$50,(SUM(Y40:Y$49)+(X75-$X$50)*$Y$50)/35)</f>
        <v>115311.42857142857</v>
      </c>
      <c r="AK75" s="8" t="e">
        <f t="shared" si="18"/>
        <v>#N/A</v>
      </c>
      <c r="AL75" s="6" t="e">
        <f t="shared" si="16"/>
        <v>#N/A</v>
      </c>
      <c r="AM75" s="6" t="e">
        <f t="shared" si="17"/>
        <v>#N/A</v>
      </c>
      <c r="AN75" s="6">
        <f t="shared" si="19"/>
        <v>0</v>
      </c>
    </row>
    <row r="76" spans="18:40">
      <c r="R76" s="1">
        <f t="shared" si="7"/>
        <v>70</v>
      </c>
      <c r="S76" s="6">
        <f t="shared" si="15"/>
        <v>163454.21355761908</v>
      </c>
      <c r="T76" s="13" t="str">
        <f t="shared" si="20"/>
        <v/>
      </c>
      <c r="X76" s="1">
        <f t="shared" si="13"/>
        <v>2042</v>
      </c>
      <c r="Y76" s="10">
        <f t="shared" si="14"/>
        <v>159600</v>
      </c>
      <c r="Z76" s="6">
        <f t="shared" si="10"/>
        <v>138468</v>
      </c>
      <c r="AA76" s="14">
        <f>MIN($Y$50,(SUM(Y41:Y$49)+(X76-$X$50)*$Y$50)/35)</f>
        <v>116005.71428571429</v>
      </c>
      <c r="AK76" s="8" t="e">
        <f t="shared" si="18"/>
        <v>#N/A</v>
      </c>
      <c r="AL76" s="6" t="e">
        <f t="shared" si="16"/>
        <v>#N/A</v>
      </c>
      <c r="AM76" s="6" t="e">
        <f t="shared" si="17"/>
        <v>#N/A</v>
      </c>
      <c r="AN76" s="6">
        <f t="shared" si="19"/>
        <v>0</v>
      </c>
    </row>
    <row r="77" spans="18:40">
      <c r="R77" s="1">
        <f t="shared" si="7"/>
        <v>71</v>
      </c>
      <c r="S77" s="6">
        <f t="shared" si="15"/>
        <v>166723.29782877146</v>
      </c>
      <c r="T77" s="13" t="str">
        <f t="shared" si="20"/>
        <v/>
      </c>
      <c r="X77" s="1">
        <f t="shared" si="13"/>
        <v>2043</v>
      </c>
      <c r="Y77" s="10">
        <f t="shared" si="14"/>
        <v>159600</v>
      </c>
      <c r="Z77" s="6">
        <f t="shared" si="10"/>
        <v>140112</v>
      </c>
      <c r="AA77" s="14">
        <f>MIN($Y$50,(SUM(Y42:Y$49)+(X77-$X$50)*$Y$50)/35)</f>
        <v>116605.71428571429</v>
      </c>
      <c r="AK77" s="8" t="e">
        <f t="shared" si="18"/>
        <v>#N/A</v>
      </c>
      <c r="AL77" s="6" t="e">
        <f t="shared" si="16"/>
        <v>#N/A</v>
      </c>
      <c r="AM77" s="6" t="e">
        <f t="shared" si="17"/>
        <v>#N/A</v>
      </c>
      <c r="AN77" s="6">
        <f t="shared" si="19"/>
        <v>0</v>
      </c>
    </row>
    <row r="78" spans="18:40">
      <c r="R78" s="1">
        <f t="shared" si="7"/>
        <v>72</v>
      </c>
      <c r="S78" s="6">
        <f t="shared" si="15"/>
        <v>170057.76378534691</v>
      </c>
      <c r="T78" s="13" t="str">
        <f t="shared" si="20"/>
        <v/>
      </c>
      <c r="X78" s="1">
        <f t="shared" si="13"/>
        <v>2044</v>
      </c>
      <c r="Y78" s="10">
        <f t="shared" si="14"/>
        <v>159600</v>
      </c>
      <c r="Z78" s="6">
        <f t="shared" si="10"/>
        <v>141624</v>
      </c>
      <c r="AA78" s="14">
        <f>MIN($Y$50,(SUM(Y43:Y$49)+(X78-$X$50)*$Y$50)/35)</f>
        <v>117077.14285714286</v>
      </c>
    </row>
    <row r="79" spans="18:40">
      <c r="R79" s="1">
        <f t="shared" si="7"/>
        <v>73</v>
      </c>
      <c r="S79" s="6">
        <f t="shared" si="15"/>
        <v>173458.91906105384</v>
      </c>
      <c r="T79" s="13" t="str">
        <f t="shared" si="20"/>
        <v/>
      </c>
      <c r="X79" s="1">
        <f t="shared" si="13"/>
        <v>2045</v>
      </c>
      <c r="Y79" s="10">
        <f t="shared" si="14"/>
        <v>159600</v>
      </c>
      <c r="Z79" s="6">
        <f t="shared" si="10"/>
        <v>143124</v>
      </c>
      <c r="AA79" s="14">
        <f>MIN($Y$50,(SUM(Y44:Y$49)+(X79-$X$50)*$Y$50)/35)</f>
        <v>117411.42857142857</v>
      </c>
    </row>
    <row r="80" spans="18:40">
      <c r="R80" s="1">
        <f t="shared" ref="R80:R88" si="21">R79+1</f>
        <v>74</v>
      </c>
      <c r="S80" s="6">
        <f t="shared" si="15"/>
        <v>176928.09744227491</v>
      </c>
      <c r="T80" s="13" t="str">
        <f t="shared" si="20"/>
        <v/>
      </c>
      <c r="X80" s="1">
        <f t="shared" si="13"/>
        <v>2046</v>
      </c>
      <c r="Y80" s="10">
        <f t="shared" si="14"/>
        <v>159600</v>
      </c>
      <c r="Z80" s="6">
        <f t="shared" si="10"/>
        <v>144636</v>
      </c>
      <c r="AA80" s="14">
        <f>MIN($Y$50,(SUM(Y45:Y$49)+(X80-$X$50)*$Y$50)/35)</f>
        <v>117745.71428571429</v>
      </c>
    </row>
    <row r="81" spans="18:27">
      <c r="R81" s="1">
        <f t="shared" si="21"/>
        <v>75</v>
      </c>
      <c r="S81" s="6">
        <f t="shared" si="15"/>
        <v>180466.65939112043</v>
      </c>
      <c r="T81" s="13" t="str">
        <f t="shared" si="20"/>
        <v/>
      </c>
      <c r="X81" s="1">
        <f t="shared" si="13"/>
        <v>2047</v>
      </c>
      <c r="Y81" s="10">
        <f t="shared" si="14"/>
        <v>159600</v>
      </c>
      <c r="Z81" s="6">
        <f t="shared" si="10"/>
        <v>146052</v>
      </c>
      <c r="AA81" s="14">
        <f>MIN($Y$50,(SUM(Y46:Y$49)+(X81-$X$50)*$Y$50)/35)</f>
        <v>118080</v>
      </c>
    </row>
    <row r="82" spans="18:27">
      <c r="R82" s="1">
        <f t="shared" si="21"/>
        <v>76</v>
      </c>
      <c r="S82" s="6">
        <f t="shared" si="15"/>
        <v>184075.99257894282</v>
      </c>
      <c r="T82" s="13" t="str">
        <f t="shared" si="20"/>
        <v/>
      </c>
      <c r="X82" s="1">
        <f t="shared" si="13"/>
        <v>2048</v>
      </c>
      <c r="Y82" s="10">
        <f t="shared" si="14"/>
        <v>159600</v>
      </c>
      <c r="Z82" s="6">
        <f t="shared" si="10"/>
        <v>147360</v>
      </c>
      <c r="AA82" s="14">
        <f>MIN($Y$50,(SUM(Y47:Y$49)+(X82-$X$50)*$Y$50)/35)</f>
        <v>118320</v>
      </c>
    </row>
    <row r="83" spans="18:27">
      <c r="R83" s="1">
        <f t="shared" si="21"/>
        <v>77</v>
      </c>
      <c r="S83" s="6">
        <f t="shared" si="15"/>
        <v>187757.51243052169</v>
      </c>
      <c r="T83" s="13" t="str">
        <f t="shared" si="20"/>
        <v/>
      </c>
      <c r="X83" s="1">
        <f t="shared" si="13"/>
        <v>2049</v>
      </c>
      <c r="Y83" s="10">
        <f t="shared" si="14"/>
        <v>159600</v>
      </c>
      <c r="Z83" s="6">
        <f t="shared" si="10"/>
        <v>148584</v>
      </c>
      <c r="AA83" s="14">
        <f>MIN($Y$50,(SUM(Y48:Y$49)+(X83-$X$50)*$Y$50)/35)</f>
        <v>118457.14285714286</v>
      </c>
    </row>
    <row r="84" spans="18:27">
      <c r="R84" s="1">
        <f t="shared" si="21"/>
        <v>78</v>
      </c>
      <c r="S84" s="6">
        <f t="shared" si="15"/>
        <v>191512.66267913213</v>
      </c>
      <c r="T84" s="13" t="str">
        <f t="shared" si="20"/>
        <v/>
      </c>
      <c r="X84" s="1">
        <f t="shared" si="13"/>
        <v>2050</v>
      </c>
      <c r="Y84" s="10">
        <f t="shared" si="14"/>
        <v>159600</v>
      </c>
      <c r="Z84" s="6">
        <f t="shared" si="10"/>
        <v>149760</v>
      </c>
      <c r="AA84" s="14">
        <f>MIN($Y$50,(SUM(Y49:Y$49)+(X84-$X$50)*$Y$50)/35)</f>
        <v>118500</v>
      </c>
    </row>
    <row r="85" spans="18:27">
      <c r="R85" s="1">
        <f t="shared" si="21"/>
        <v>79</v>
      </c>
      <c r="S85" s="6">
        <f t="shared" si="15"/>
        <v>195342.91593271476</v>
      </c>
      <c r="T85" s="13" t="str">
        <f t="shared" si="20"/>
        <v/>
      </c>
      <c r="X85" s="1">
        <f t="shared" si="13"/>
        <v>2051</v>
      </c>
      <c r="Y85" s="10">
        <f t="shared" si="14"/>
        <v>159600</v>
      </c>
      <c r="Z85" s="6">
        <f t="shared" si="10"/>
        <v>150924</v>
      </c>
      <c r="AA85" s="14">
        <f>MIN($Y$50,(SUM(Y$49:Y50)+(X85-$X$50)*$Y$50)/35)</f>
        <v>118500</v>
      </c>
    </row>
    <row r="86" spans="18:27">
      <c r="R86" s="1">
        <f t="shared" si="21"/>
        <v>80</v>
      </c>
      <c r="S86" s="6">
        <f t="shared" si="15"/>
        <v>199249.77425136906</v>
      </c>
      <c r="T86" s="13" t="str">
        <f t="shared" si="20"/>
        <v/>
      </c>
      <c r="X86" s="1">
        <f t="shared" si="13"/>
        <v>2052</v>
      </c>
      <c r="Y86" s="10">
        <f t="shared" si="14"/>
        <v>159600</v>
      </c>
      <c r="Z86" s="6">
        <f t="shared" si="10"/>
        <v>152040</v>
      </c>
      <c r="AA86" s="14">
        <f>MIN($Y$50,(SUM(Y$49:Y51)+(X86-$X$50)*$Y$50)/35)</f>
        <v>118500</v>
      </c>
    </row>
    <row r="87" spans="18:27">
      <c r="R87" s="1">
        <f t="shared" si="21"/>
        <v>81</v>
      </c>
      <c r="S87" s="6">
        <f t="shared" si="15"/>
        <v>203234.76973639644</v>
      </c>
      <c r="T87" s="13" t="str">
        <f t="shared" si="20"/>
        <v/>
      </c>
      <c r="X87" s="1">
        <f t="shared" si="13"/>
        <v>2053</v>
      </c>
      <c r="Y87" s="10">
        <f t="shared" si="14"/>
        <v>159600</v>
      </c>
      <c r="Z87" s="6">
        <f t="shared" si="10"/>
        <v>153072</v>
      </c>
      <c r="AA87" s="14">
        <f>MIN($Y$50,(SUM(Y$49:Y52)+(X87-$X$50)*$Y$50)/35)</f>
        <v>118500</v>
      </c>
    </row>
    <row r="88" spans="18:27">
      <c r="R88" s="1">
        <f t="shared" si="21"/>
        <v>82</v>
      </c>
      <c r="S88" s="6">
        <f t="shared" si="15"/>
        <v>207299.46513112437</v>
      </c>
      <c r="T88" s="13" t="str">
        <f t="shared" si="20"/>
        <v/>
      </c>
      <c r="X88" s="1">
        <f t="shared" si="13"/>
        <v>2054</v>
      </c>
      <c r="Y88" s="10">
        <f t="shared" si="14"/>
        <v>159600</v>
      </c>
      <c r="Z88" s="6">
        <f t="shared" si="10"/>
        <v>154044</v>
      </c>
      <c r="AA88" s="14">
        <f>MIN($Y$50,(SUM(Y$49:Y53)+(X88-$X$50)*$Y$50)/35)</f>
        <v>118500</v>
      </c>
    </row>
    <row r="89" spans="18:27">
      <c r="X89" s="1">
        <f t="shared" si="13"/>
        <v>2055</v>
      </c>
      <c r="Y89" s="10">
        <f t="shared" si="14"/>
        <v>159600</v>
      </c>
      <c r="Z89" s="6">
        <f t="shared" si="10"/>
        <v>154932</v>
      </c>
      <c r="AA89" s="14">
        <f>MIN($Y$50,(SUM(Y$49:Y54)+(X89-$X$50)*$Y$50)/35)</f>
        <v>118500</v>
      </c>
    </row>
    <row r="90" spans="18:27">
      <c r="X90" s="1">
        <f t="shared" si="13"/>
        <v>2056</v>
      </c>
      <c r="Y90" s="10">
        <f t="shared" si="14"/>
        <v>159600</v>
      </c>
      <c r="Z90" s="6">
        <f t="shared" si="10"/>
        <v>155760</v>
      </c>
      <c r="AA90" s="14">
        <f>MIN($Y$50,(SUM(Y$49:Y55)+(X90-$X$50)*$Y$50)/35)</f>
        <v>118500</v>
      </c>
    </row>
    <row r="91" spans="18:27">
      <c r="X91" s="1">
        <f t="shared" si="13"/>
        <v>2057</v>
      </c>
      <c r="Y91" s="10">
        <f t="shared" si="14"/>
        <v>159600</v>
      </c>
      <c r="Z91" s="6">
        <f t="shared" si="10"/>
        <v>156504</v>
      </c>
      <c r="AA91" s="14">
        <f>MIN($Y$50,(SUM(Y$49:Y56)+(X91-$X$50)*$Y$50)/35)</f>
        <v>118500</v>
      </c>
    </row>
    <row r="92" spans="18:27">
      <c r="X92" s="1">
        <f t="shared" si="13"/>
        <v>2058</v>
      </c>
      <c r="Y92" s="10">
        <f t="shared" si="14"/>
        <v>159600</v>
      </c>
      <c r="Z92" s="6">
        <f t="shared" si="10"/>
        <v>157164</v>
      </c>
      <c r="AA92" s="14">
        <f>MIN($Y$50,(SUM(Y$49:Y57)+(X92-$X$50)*$Y$50)/35)</f>
        <v>118500</v>
      </c>
    </row>
    <row r="93" spans="18:27">
      <c r="X93" s="1">
        <f t="shared" si="13"/>
        <v>2059</v>
      </c>
      <c r="Y93" s="10">
        <f t="shared" si="14"/>
        <v>159600</v>
      </c>
      <c r="Z93" s="6">
        <f t="shared" si="10"/>
        <v>157764</v>
      </c>
      <c r="AA93" s="14">
        <f>MIN($Y$50,(SUM(Y$49:Y58)+(X93-$X$50)*$Y$50)/35)</f>
        <v>118500</v>
      </c>
    </row>
    <row r="94" spans="18:27">
      <c r="X94" s="1">
        <f t="shared" si="13"/>
        <v>2060</v>
      </c>
      <c r="Y94" s="10">
        <f t="shared" si="14"/>
        <v>159600</v>
      </c>
      <c r="Z94" s="6">
        <f t="shared" si="10"/>
        <v>158280</v>
      </c>
      <c r="AA94" s="14">
        <f>MIN($Y$50,(SUM(Y$49:Y59)+(X94-$X$50)*$Y$50)/35)</f>
        <v>118500</v>
      </c>
    </row>
    <row r="95" spans="18:27">
      <c r="X95" s="1">
        <f t="shared" si="13"/>
        <v>2061</v>
      </c>
      <c r="Y95" s="10">
        <f t="shared" si="14"/>
        <v>159600</v>
      </c>
      <c r="Z95" s="6">
        <f t="shared" si="10"/>
        <v>158700</v>
      </c>
      <c r="AA95" s="14">
        <f>MIN($Y$50,(SUM(Y$49:Y60)+(X95-$X$50)*$Y$50)/35)</f>
        <v>118500</v>
      </c>
    </row>
    <row r="96" spans="18:27">
      <c r="X96" s="1">
        <f t="shared" si="13"/>
        <v>2062</v>
      </c>
      <c r="Y96" s="10">
        <f t="shared" si="14"/>
        <v>159600</v>
      </c>
      <c r="Z96" s="6">
        <f t="shared" si="10"/>
        <v>159060</v>
      </c>
      <c r="AA96" s="14">
        <f>MIN($Y$50,(SUM(Y$49:Y61)+(X96-$X$50)*$Y$50)/35)</f>
        <v>118500</v>
      </c>
    </row>
    <row r="97" spans="24:27">
      <c r="X97" s="1">
        <f t="shared" si="13"/>
        <v>2063</v>
      </c>
      <c r="Y97" s="10">
        <f t="shared" si="14"/>
        <v>159600</v>
      </c>
      <c r="Z97" s="6">
        <f t="shared" si="10"/>
        <v>159324</v>
      </c>
      <c r="AA97" s="14">
        <f>MIN($Y$50,(SUM(Y$49:Y62)+(X97-$X$50)*$Y$50)/35)</f>
        <v>118500</v>
      </c>
    </row>
    <row r="98" spans="24:27">
      <c r="X98" s="1">
        <f t="shared" si="13"/>
        <v>2064</v>
      </c>
      <c r="Y98" s="10">
        <f t="shared" si="14"/>
        <v>159600</v>
      </c>
      <c r="Z98" s="6">
        <f t="shared" si="10"/>
        <v>159504</v>
      </c>
      <c r="AA98" s="14">
        <f>MIN($Y$50,(SUM(Y$49:Y63)+(X98-$X$50)*$Y$50)/35)</f>
        <v>118500</v>
      </c>
    </row>
    <row r="99" spans="24:27">
      <c r="X99" s="1">
        <f t="shared" si="13"/>
        <v>2065</v>
      </c>
      <c r="Y99" s="10">
        <f t="shared" si="14"/>
        <v>159600</v>
      </c>
      <c r="Z99" s="6">
        <f t="shared" si="10"/>
        <v>159600</v>
      </c>
      <c r="AA99" s="14">
        <f>MIN($Y$50,(SUM(Y$49:Y64)+(X99-$X$50)*$Y$50)/35)</f>
        <v>118500</v>
      </c>
    </row>
    <row r="100" spans="24:27">
      <c r="X100" s="1">
        <f t="shared" si="13"/>
        <v>2066</v>
      </c>
      <c r="Y100" s="10">
        <f t="shared" si="14"/>
        <v>159600</v>
      </c>
      <c r="Z100" s="6">
        <f t="shared" si="10"/>
        <v>159600</v>
      </c>
      <c r="AA100" s="14">
        <f>MIN($Y$50,(SUM(Y$49:Y65)+(X100-$X$50)*$Y$50)/35)</f>
        <v>118500</v>
      </c>
    </row>
    <row r="101" spans="24:27">
      <c r="X101" s="1">
        <f t="shared" si="13"/>
        <v>2067</v>
      </c>
      <c r="Y101" s="10">
        <f t="shared" si="14"/>
        <v>159600</v>
      </c>
      <c r="Z101" s="6">
        <f t="shared" si="10"/>
        <v>159600</v>
      </c>
      <c r="AA101" s="14">
        <f>MIN($Y$50,(SUM(Y$49:Y66)+(X101-$X$50)*$Y$50)/35)</f>
        <v>118500</v>
      </c>
    </row>
    <row r="102" spans="24:27">
      <c r="X102" s="1">
        <f t="shared" si="13"/>
        <v>2068</v>
      </c>
      <c r="Y102" s="10">
        <f t="shared" si="14"/>
        <v>159600</v>
      </c>
      <c r="Z102" s="6">
        <f t="shared" si="10"/>
        <v>159600</v>
      </c>
      <c r="AA102" s="14">
        <f>MIN($Y$50,(SUM(Y$49:Y67)+(X102-$X$50)*$Y$50)/35)</f>
        <v>118500</v>
      </c>
    </row>
    <row r="103" spans="24:27">
      <c r="X103" s="1">
        <f t="shared" si="13"/>
        <v>2069</v>
      </c>
      <c r="Y103" s="10">
        <f t="shared" si="14"/>
        <v>159600</v>
      </c>
      <c r="Z103" s="6">
        <f t="shared" si="10"/>
        <v>159600</v>
      </c>
      <c r="AA103" s="14">
        <f>MIN($Y$50,(SUM(Y$49:Y68)+(X103-$X$50)*$Y$50)/35)</f>
        <v>118500</v>
      </c>
    </row>
    <row r="104" spans="24:27">
      <c r="X104" s="1">
        <f t="shared" si="13"/>
        <v>2070</v>
      </c>
      <c r="Y104" s="10">
        <f t="shared" si="14"/>
        <v>159600</v>
      </c>
      <c r="Z104" s="6">
        <f t="shared" si="10"/>
        <v>159600</v>
      </c>
      <c r="AA104" s="14">
        <f>MIN($Y$50,(SUM(Y$49:Y69)+(X104-$X$50)*$Y$50)/35)</f>
        <v>118500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18"/>
  <sheetViews>
    <sheetView workbookViewId="0">
      <selection activeCell="C24" sqref="C24"/>
    </sheetView>
  </sheetViews>
  <sheetFormatPr defaultRowHeight="15.5"/>
  <cols>
    <col min="1" max="16384" width="9.23046875" style="1"/>
  </cols>
  <sheetData>
    <row r="3" spans="2:29">
      <c r="B3" s="1" t="s">
        <v>28</v>
      </c>
    </row>
    <row r="4" spans="2:29">
      <c r="B4" s="1" t="s">
        <v>30</v>
      </c>
      <c r="C4" s="1" t="s">
        <v>29</v>
      </c>
    </row>
    <row r="5" spans="2:29">
      <c r="C5" s="70" t="s">
        <v>70</v>
      </c>
    </row>
    <row r="6" spans="2:29">
      <c r="C6" s="1" t="s">
        <v>3</v>
      </c>
    </row>
    <row r="7" spans="2:29">
      <c r="B7" s="1" t="s">
        <v>31</v>
      </c>
      <c r="C7" s="1">
        <v>50</v>
      </c>
      <c r="D7" s="1">
        <f>C7+1</f>
        <v>51</v>
      </c>
      <c r="E7" s="1">
        <f t="shared" ref="E7:AC7" si="0">D7+1</f>
        <v>52</v>
      </c>
      <c r="F7" s="1">
        <f t="shared" si="0"/>
        <v>53</v>
      </c>
      <c r="G7" s="1">
        <f t="shared" si="0"/>
        <v>54</v>
      </c>
      <c r="H7" s="1">
        <f t="shared" si="0"/>
        <v>55</v>
      </c>
      <c r="I7" s="1">
        <f t="shared" si="0"/>
        <v>56</v>
      </c>
      <c r="J7" s="1">
        <f t="shared" si="0"/>
        <v>57</v>
      </c>
      <c r="K7" s="1">
        <f t="shared" si="0"/>
        <v>58</v>
      </c>
      <c r="L7" s="1">
        <f t="shared" si="0"/>
        <v>59</v>
      </c>
      <c r="M7" s="1">
        <f t="shared" si="0"/>
        <v>60</v>
      </c>
      <c r="N7" s="1">
        <f t="shared" si="0"/>
        <v>61</v>
      </c>
      <c r="O7" s="1">
        <f t="shared" si="0"/>
        <v>62</v>
      </c>
      <c r="P7" s="1">
        <f t="shared" si="0"/>
        <v>63</v>
      </c>
      <c r="Q7" s="1">
        <f t="shared" si="0"/>
        <v>64</v>
      </c>
      <c r="R7" s="1">
        <f t="shared" si="0"/>
        <v>65</v>
      </c>
      <c r="S7" s="1">
        <f t="shared" si="0"/>
        <v>66</v>
      </c>
      <c r="T7" s="1">
        <f t="shared" si="0"/>
        <v>67</v>
      </c>
      <c r="U7" s="1">
        <f t="shared" si="0"/>
        <v>68</v>
      </c>
      <c r="V7" s="1">
        <f t="shared" si="0"/>
        <v>69</v>
      </c>
      <c r="W7" s="1">
        <f t="shared" si="0"/>
        <v>70</v>
      </c>
      <c r="X7" s="1">
        <f t="shared" si="0"/>
        <v>71</v>
      </c>
      <c r="Y7" s="1">
        <f t="shared" si="0"/>
        <v>72</v>
      </c>
      <c r="Z7" s="1">
        <f t="shared" si="0"/>
        <v>73</v>
      </c>
      <c r="AA7" s="1">
        <f t="shared" si="0"/>
        <v>74</v>
      </c>
      <c r="AB7" s="1">
        <f t="shared" si="0"/>
        <v>75</v>
      </c>
      <c r="AC7" s="1">
        <f t="shared" si="0"/>
        <v>76</v>
      </c>
    </row>
    <row r="8" spans="2:29">
      <c r="B8" s="69">
        <v>0</v>
      </c>
      <c r="C8" s="71">
        <v>19.198799999999999</v>
      </c>
      <c r="D8" s="71">
        <v>19.2212</v>
      </c>
      <c r="E8" s="71">
        <v>19.2454</v>
      </c>
      <c r="F8" s="71">
        <v>19.272200000000002</v>
      </c>
      <c r="G8" s="71">
        <v>19.302600000000002</v>
      </c>
      <c r="H8" s="71">
        <v>19.337199999999999</v>
      </c>
      <c r="I8" s="71">
        <v>19.378499999999999</v>
      </c>
      <c r="J8" s="71">
        <v>19.428699999999999</v>
      </c>
      <c r="K8" s="71">
        <v>19.487200000000001</v>
      </c>
      <c r="L8" s="71">
        <v>19.554400000000001</v>
      </c>
      <c r="M8" s="71">
        <v>19.631</v>
      </c>
      <c r="N8" s="71">
        <v>19.718900000000001</v>
      </c>
      <c r="O8" s="71">
        <v>19.8218</v>
      </c>
      <c r="P8" s="71">
        <v>19.9407</v>
      </c>
      <c r="Q8" s="71">
        <v>20.080300000000001</v>
      </c>
      <c r="R8" s="71">
        <v>20.2393</v>
      </c>
      <c r="S8" s="71">
        <v>19.415800000000001</v>
      </c>
      <c r="T8" s="71">
        <v>18.61</v>
      </c>
      <c r="U8" s="71">
        <v>17.817299999999999</v>
      </c>
      <c r="V8" s="71">
        <v>17.034800000000001</v>
      </c>
      <c r="W8" s="71">
        <v>16.265000000000001</v>
      </c>
      <c r="X8" s="71">
        <v>15.505000000000001</v>
      </c>
      <c r="Y8" s="71">
        <v>14.7562</v>
      </c>
      <c r="Z8" s="71">
        <v>14.022500000000001</v>
      </c>
      <c r="AA8" s="71">
        <v>13.3018</v>
      </c>
      <c r="AB8" s="71">
        <v>12.597300000000001</v>
      </c>
      <c r="AC8" s="71">
        <v>11.9094</v>
      </c>
    </row>
    <row r="9" spans="2:29">
      <c r="B9" s="69">
        <v>0.01</v>
      </c>
      <c r="C9" s="71">
        <v>14.738799999999999</v>
      </c>
      <c r="D9" s="71">
        <v>14.903600000000001</v>
      </c>
      <c r="E9" s="71">
        <v>15.0715</v>
      </c>
      <c r="F9" s="71">
        <v>15.243499999999999</v>
      </c>
      <c r="G9" s="71">
        <v>15.420199999999999</v>
      </c>
      <c r="H9" s="71">
        <v>15.6023</v>
      </c>
      <c r="I9" s="71">
        <v>15.792</v>
      </c>
      <c r="J9" s="71">
        <v>15.991300000000001</v>
      </c>
      <c r="K9" s="71">
        <v>16.1998</v>
      </c>
      <c r="L9" s="71">
        <v>16.418199999999999</v>
      </c>
      <c r="M9" s="71">
        <v>16.647400000000001</v>
      </c>
      <c r="N9" s="71">
        <v>16.889099999999999</v>
      </c>
      <c r="O9" s="71">
        <v>17.146999999999998</v>
      </c>
      <c r="P9" s="71">
        <v>17.4224</v>
      </c>
      <c r="Q9" s="71">
        <v>17.719799999999999</v>
      </c>
      <c r="R9" s="71">
        <v>18.038699999999999</v>
      </c>
      <c r="S9" s="71">
        <v>17.372</v>
      </c>
      <c r="T9" s="71">
        <v>16.715199999999999</v>
      </c>
      <c r="U9" s="71">
        <v>16.064399999999999</v>
      </c>
      <c r="V9" s="71">
        <v>15.417</v>
      </c>
      <c r="W9" s="71">
        <v>14.775399999999999</v>
      </c>
      <c r="X9" s="71">
        <v>14.1372</v>
      </c>
      <c r="Y9" s="71">
        <v>13.5036</v>
      </c>
      <c r="Z9" s="71">
        <v>12.878500000000001</v>
      </c>
      <c r="AA9" s="71">
        <v>12.26</v>
      </c>
      <c r="AB9" s="71">
        <v>11.651300000000001</v>
      </c>
      <c r="AC9" s="71">
        <v>11.052899999999999</v>
      </c>
    </row>
    <row r="10" spans="2:29">
      <c r="B10" s="69">
        <v>0.02</v>
      </c>
      <c r="C10" s="71">
        <v>11.413600000000001</v>
      </c>
      <c r="D10" s="71">
        <v>11.6555</v>
      </c>
      <c r="E10" s="71">
        <v>11.903600000000001</v>
      </c>
      <c r="F10" s="71">
        <v>12.1586</v>
      </c>
      <c r="G10" s="71">
        <v>12.4213</v>
      </c>
      <c r="H10" s="71">
        <v>12.692399999999999</v>
      </c>
      <c r="I10" s="71">
        <v>12.9739</v>
      </c>
      <c r="J10" s="71">
        <v>13.2677</v>
      </c>
      <c r="K10" s="71">
        <v>13.5738</v>
      </c>
      <c r="L10" s="71">
        <v>13.893000000000001</v>
      </c>
      <c r="M10" s="71">
        <v>14.2264</v>
      </c>
      <c r="N10" s="71">
        <v>14.575900000000001</v>
      </c>
      <c r="O10" s="71">
        <v>14.945</v>
      </c>
      <c r="P10" s="71">
        <v>15.3354</v>
      </c>
      <c r="Q10" s="71">
        <v>15.7516</v>
      </c>
      <c r="R10" s="71">
        <v>16.1938</v>
      </c>
      <c r="S10" s="71">
        <v>15.649900000000001</v>
      </c>
      <c r="T10" s="71">
        <v>15.1106</v>
      </c>
      <c r="U10" s="71">
        <v>14.5725</v>
      </c>
      <c r="V10" s="71">
        <v>14.033300000000001</v>
      </c>
      <c r="W10" s="71">
        <v>13.495200000000001</v>
      </c>
      <c r="X10" s="71">
        <v>12.956</v>
      </c>
      <c r="Y10" s="71">
        <v>12.4168</v>
      </c>
      <c r="Z10" s="71">
        <v>11.8813</v>
      </c>
      <c r="AA10" s="71">
        <v>11.3477</v>
      </c>
      <c r="AB10" s="71">
        <v>10.819100000000001</v>
      </c>
      <c r="AC10" s="71">
        <v>10.295999999999999</v>
      </c>
    </row>
    <row r="11" spans="2:29">
      <c r="B11" s="69">
        <v>0.03</v>
      </c>
      <c r="C11" s="71">
        <v>8.9111999999999991</v>
      </c>
      <c r="D11" s="71">
        <v>9.1891999999999996</v>
      </c>
      <c r="E11" s="71">
        <v>9.4768000000000008</v>
      </c>
      <c r="F11" s="71">
        <v>9.7746999999999993</v>
      </c>
      <c r="G11" s="71">
        <v>10.0838</v>
      </c>
      <c r="H11" s="71">
        <v>10.404999999999999</v>
      </c>
      <c r="I11" s="71">
        <v>10.74</v>
      </c>
      <c r="J11" s="71">
        <v>11.0909</v>
      </c>
      <c r="K11" s="71">
        <v>11.458</v>
      </c>
      <c r="L11" s="71">
        <v>11.8424</v>
      </c>
      <c r="M11" s="71">
        <v>12.2455</v>
      </c>
      <c r="N11" s="71">
        <v>12.6693</v>
      </c>
      <c r="O11" s="71">
        <v>13.1175</v>
      </c>
      <c r="P11" s="71">
        <v>13.5921</v>
      </c>
      <c r="Q11" s="71">
        <v>14.097899999999999</v>
      </c>
      <c r="R11" s="71">
        <v>14.6358</v>
      </c>
      <c r="S11" s="71">
        <v>14.188700000000001</v>
      </c>
      <c r="T11" s="71">
        <v>13.742699999999999</v>
      </c>
      <c r="U11" s="71">
        <v>13.294700000000001</v>
      </c>
      <c r="V11" s="71">
        <v>12.842700000000001</v>
      </c>
      <c r="W11" s="71">
        <v>12.3886</v>
      </c>
      <c r="X11" s="71">
        <v>11.930300000000001</v>
      </c>
      <c r="Y11" s="71">
        <v>11.4688</v>
      </c>
      <c r="Z11" s="71">
        <v>11.0075</v>
      </c>
      <c r="AA11" s="71">
        <v>10.5448</v>
      </c>
      <c r="AB11" s="71">
        <v>10.083500000000001</v>
      </c>
      <c r="AC11" s="71">
        <v>9.6242000000000001</v>
      </c>
    </row>
    <row r="12" spans="2:29">
      <c r="B12" s="69">
        <v>0.04</v>
      </c>
      <c r="C12" s="71">
        <v>7.0109000000000004</v>
      </c>
      <c r="D12" s="71">
        <v>7.2998000000000003</v>
      </c>
      <c r="E12" s="71">
        <v>7.6013999999999999</v>
      </c>
      <c r="F12" s="71">
        <v>7.9164000000000003</v>
      </c>
      <c r="G12" s="71">
        <v>8.2461000000000002</v>
      </c>
      <c r="H12" s="71">
        <v>8.5913000000000004</v>
      </c>
      <c r="I12" s="71">
        <v>8.9540000000000006</v>
      </c>
      <c r="J12" s="71">
        <v>9.3363999999999994</v>
      </c>
      <c r="K12" s="71">
        <v>9.7390000000000008</v>
      </c>
      <c r="L12" s="71">
        <v>10.163500000000001</v>
      </c>
      <c r="M12" s="71">
        <v>10.611499999999999</v>
      </c>
      <c r="N12" s="71">
        <v>11.0853</v>
      </c>
      <c r="O12" s="71">
        <v>11.588900000000001</v>
      </c>
      <c r="P12" s="71">
        <v>12.1248</v>
      </c>
      <c r="Q12" s="71">
        <v>12.6981</v>
      </c>
      <c r="R12" s="71">
        <v>13.310499999999999</v>
      </c>
      <c r="S12" s="71">
        <v>12.940300000000001</v>
      </c>
      <c r="T12" s="71">
        <v>12.568899999999999</v>
      </c>
      <c r="U12" s="71">
        <v>12.1935</v>
      </c>
      <c r="V12" s="71">
        <v>11.812099999999999</v>
      </c>
      <c r="W12" s="71">
        <v>11.426500000000001</v>
      </c>
      <c r="X12" s="71">
        <v>11.034700000000001</v>
      </c>
      <c r="Y12" s="71">
        <v>10.637600000000001</v>
      </c>
      <c r="Z12" s="71">
        <v>10.238200000000001</v>
      </c>
      <c r="AA12" s="71">
        <v>9.8350000000000009</v>
      </c>
      <c r="AB12" s="71">
        <v>9.4305000000000003</v>
      </c>
      <c r="AC12" s="71">
        <v>9.0253999999999994</v>
      </c>
    </row>
    <row r="13" spans="2:29">
      <c r="B13" s="69">
        <v>0.05</v>
      </c>
      <c r="C13" s="71">
        <v>5.5556000000000001</v>
      </c>
      <c r="D13" s="71">
        <v>5.8402000000000003</v>
      </c>
      <c r="E13" s="71">
        <v>6.1398999999999999</v>
      </c>
      <c r="F13" s="71">
        <v>6.4558999999999997</v>
      </c>
      <c r="G13" s="71">
        <v>6.7893999999999997</v>
      </c>
      <c r="H13" s="71">
        <v>7.1416000000000004</v>
      </c>
      <c r="I13" s="71">
        <v>7.5147000000000004</v>
      </c>
      <c r="J13" s="71">
        <v>7.9108999999999998</v>
      </c>
      <c r="K13" s="71">
        <v>8.3314000000000004</v>
      </c>
      <c r="L13" s="71">
        <v>8.7782</v>
      </c>
      <c r="M13" s="71">
        <v>9.2531999999999996</v>
      </c>
      <c r="N13" s="71">
        <v>9.7593999999999994</v>
      </c>
      <c r="O13" s="71">
        <v>10.300800000000001</v>
      </c>
      <c r="P13" s="71">
        <v>10.880699999999999</v>
      </c>
      <c r="Q13" s="71">
        <v>11.504799999999999</v>
      </c>
      <c r="R13" s="71">
        <v>12.175700000000001</v>
      </c>
      <c r="S13" s="71">
        <v>11.8668</v>
      </c>
      <c r="T13" s="71">
        <v>11.555400000000001</v>
      </c>
      <c r="U13" s="71">
        <v>11.238799999999999</v>
      </c>
      <c r="V13" s="71">
        <v>10.914999999999999</v>
      </c>
      <c r="W13" s="71">
        <v>10.585699999999999</v>
      </c>
      <c r="X13" s="71">
        <v>10.248900000000001</v>
      </c>
      <c r="Y13" s="71">
        <v>9.9054000000000002</v>
      </c>
      <c r="Z13" s="71">
        <v>9.5578000000000003</v>
      </c>
      <c r="AA13" s="71">
        <v>9.2047000000000008</v>
      </c>
      <c r="AB13" s="71">
        <v>8.8484999999999996</v>
      </c>
      <c r="AC13" s="71">
        <v>8.4896999999999991</v>
      </c>
    </row>
    <row r="14" spans="2:29">
      <c r="B14" s="69">
        <v>0.06</v>
      </c>
      <c r="C14" s="71">
        <v>4.4321000000000002</v>
      </c>
      <c r="D14" s="71">
        <v>4.7035</v>
      </c>
      <c r="E14" s="71">
        <v>4.992</v>
      </c>
      <c r="F14" s="71">
        <v>5.2988999999999997</v>
      </c>
      <c r="G14" s="71">
        <v>5.6257000000000001</v>
      </c>
      <c r="H14" s="71">
        <v>5.9739000000000004</v>
      </c>
      <c r="I14" s="71">
        <v>6.3459000000000003</v>
      </c>
      <c r="J14" s="71">
        <v>6.7441000000000004</v>
      </c>
      <c r="K14" s="71">
        <v>7.1702000000000004</v>
      </c>
      <c r="L14" s="71">
        <v>7.6265999999999998</v>
      </c>
      <c r="M14" s="71">
        <v>8.1158999999999999</v>
      </c>
      <c r="N14" s="71">
        <v>8.6414000000000009</v>
      </c>
      <c r="O14" s="71">
        <v>9.2077000000000009</v>
      </c>
      <c r="P14" s="71">
        <v>9.8186999999999998</v>
      </c>
      <c r="Q14" s="71">
        <v>10.480700000000001</v>
      </c>
      <c r="R14" s="71">
        <v>11.1975</v>
      </c>
      <c r="S14" s="71">
        <v>10.938000000000001</v>
      </c>
      <c r="T14" s="71">
        <v>10.6752</v>
      </c>
      <c r="U14" s="71">
        <v>10.4064</v>
      </c>
      <c r="V14" s="71">
        <v>10.130000000000001</v>
      </c>
      <c r="W14" s="71">
        <v>9.8470999999999993</v>
      </c>
      <c r="X14" s="71">
        <v>9.5559999999999992</v>
      </c>
      <c r="Y14" s="71">
        <v>9.2573000000000008</v>
      </c>
      <c r="Z14" s="71">
        <v>8.9533000000000005</v>
      </c>
      <c r="AA14" s="71">
        <v>8.6426999999999996</v>
      </c>
      <c r="AB14" s="71">
        <v>8.3277000000000001</v>
      </c>
      <c r="AC14" s="71">
        <v>8.0084999999999997</v>
      </c>
    </row>
    <row r="15" spans="2:29">
      <c r="B15" s="69">
        <v>7.0000000000000007E-2</v>
      </c>
      <c r="C15" s="71">
        <v>3.5581</v>
      </c>
      <c r="D15" s="71">
        <v>3.8117000000000001</v>
      </c>
      <c r="E15" s="71">
        <v>4.0835999999999997</v>
      </c>
      <c r="F15" s="71">
        <v>4.3756000000000004</v>
      </c>
      <c r="G15" s="71">
        <v>4.6891999999999996</v>
      </c>
      <c r="H15" s="71">
        <v>5.0265000000000004</v>
      </c>
      <c r="I15" s="71">
        <v>5.3898000000000001</v>
      </c>
      <c r="J15" s="71">
        <v>5.7820999999999998</v>
      </c>
      <c r="K15" s="71">
        <v>6.2054</v>
      </c>
      <c r="L15" s="71">
        <v>6.6627000000000001</v>
      </c>
      <c r="M15" s="71">
        <v>7.157</v>
      </c>
      <c r="N15" s="71">
        <v>7.6923000000000004</v>
      </c>
      <c r="O15" s="71">
        <v>8.2736999999999998</v>
      </c>
      <c r="P15" s="71">
        <v>8.9060000000000006</v>
      </c>
      <c r="Q15" s="71">
        <v>9.5960999999999999</v>
      </c>
      <c r="R15" s="71">
        <v>10.3491</v>
      </c>
      <c r="S15" s="71">
        <v>10.1297</v>
      </c>
      <c r="T15" s="71">
        <v>9.9063999999999997</v>
      </c>
      <c r="U15" s="71">
        <v>9.6768999999999998</v>
      </c>
      <c r="V15" s="71">
        <v>9.4393999999999991</v>
      </c>
      <c r="W15" s="71">
        <v>9.1951000000000001</v>
      </c>
      <c r="X15" s="71">
        <v>8.9421999999999997</v>
      </c>
      <c r="Y15" s="71">
        <v>8.6811000000000007</v>
      </c>
      <c r="Z15" s="71">
        <v>8.4140999999999995</v>
      </c>
      <c r="AA15" s="71">
        <v>8.1395999999999997</v>
      </c>
      <c r="AB15" s="71">
        <v>7.8597999999999999</v>
      </c>
      <c r="AC15" s="71">
        <v>7.5747999999999998</v>
      </c>
    </row>
    <row r="16" spans="2:29">
      <c r="B16" s="69">
        <v>0.08</v>
      </c>
      <c r="C16" s="71">
        <v>2.8734000000000002</v>
      </c>
      <c r="D16" s="71">
        <v>3.1069</v>
      </c>
      <c r="E16" s="71">
        <v>3.3597000000000001</v>
      </c>
      <c r="F16" s="71">
        <v>3.6335000000000002</v>
      </c>
      <c r="G16" s="71">
        <v>3.9304000000000001</v>
      </c>
      <c r="H16" s="71">
        <v>4.2523999999999997</v>
      </c>
      <c r="I16" s="71">
        <v>4.6024000000000003</v>
      </c>
      <c r="J16" s="71">
        <v>4.9835000000000003</v>
      </c>
      <c r="K16" s="71">
        <v>5.3983999999999996</v>
      </c>
      <c r="L16" s="71">
        <v>5.8503999999999996</v>
      </c>
      <c r="M16" s="71">
        <v>6.3432000000000004</v>
      </c>
      <c r="N16" s="71">
        <v>6.8813000000000004</v>
      </c>
      <c r="O16" s="71">
        <v>7.4706000000000001</v>
      </c>
      <c r="P16" s="71">
        <v>8.1166</v>
      </c>
      <c r="Q16" s="71">
        <v>8.8274000000000008</v>
      </c>
      <c r="R16" s="71">
        <v>9.609</v>
      </c>
      <c r="S16" s="71">
        <v>9.4221000000000004</v>
      </c>
      <c r="T16" s="71">
        <v>9.2312999999999992</v>
      </c>
      <c r="U16" s="71">
        <v>9.0341000000000005</v>
      </c>
      <c r="V16" s="71">
        <v>8.8290000000000006</v>
      </c>
      <c r="W16" s="71">
        <v>8.6168999999999993</v>
      </c>
      <c r="X16" s="71">
        <v>8.3960000000000008</v>
      </c>
      <c r="Y16" s="71">
        <v>8.1668000000000003</v>
      </c>
      <c r="Z16" s="71">
        <v>7.9310999999999998</v>
      </c>
      <c r="AA16" s="71">
        <v>7.6875999999999998</v>
      </c>
      <c r="AB16" s="71">
        <v>7.4379999999999997</v>
      </c>
      <c r="AC16" s="71">
        <v>7.1825000000000001</v>
      </c>
    </row>
    <row r="17" spans="2:29">
      <c r="B17" s="69">
        <v>0.09</v>
      </c>
      <c r="C17" s="71">
        <v>2.3332999999999999</v>
      </c>
      <c r="D17" s="71">
        <v>2.5463</v>
      </c>
      <c r="E17" s="71">
        <v>2.7789999999999999</v>
      </c>
      <c r="F17" s="71">
        <v>3.0333000000000001</v>
      </c>
      <c r="G17" s="71">
        <v>3.3115000000000001</v>
      </c>
      <c r="H17" s="71">
        <v>3.6160000000000001</v>
      </c>
      <c r="I17" s="71">
        <v>3.9498000000000002</v>
      </c>
      <c r="J17" s="71">
        <v>4.3164999999999996</v>
      </c>
      <c r="K17" s="71">
        <v>4.7191000000000001</v>
      </c>
      <c r="L17" s="71">
        <v>5.1616</v>
      </c>
      <c r="M17" s="71">
        <v>5.6482000000000001</v>
      </c>
      <c r="N17" s="71">
        <v>6.1840999999999999</v>
      </c>
      <c r="O17" s="71">
        <v>6.7758000000000003</v>
      </c>
      <c r="P17" s="71">
        <v>7.43</v>
      </c>
      <c r="Q17" s="71">
        <v>8.1554000000000002</v>
      </c>
      <c r="R17" s="71">
        <v>8.9596999999999998</v>
      </c>
      <c r="S17" s="71">
        <v>8.7995999999999999</v>
      </c>
      <c r="T17" s="71">
        <v>8.6354000000000006</v>
      </c>
      <c r="U17" s="71">
        <v>8.4649999999999999</v>
      </c>
      <c r="V17" s="71">
        <v>8.2868999999999993</v>
      </c>
      <c r="W17" s="71">
        <v>8.1018000000000008</v>
      </c>
      <c r="X17" s="71">
        <v>7.9080000000000004</v>
      </c>
      <c r="Y17" s="71">
        <v>7.7057000000000002</v>
      </c>
      <c r="Z17" s="71">
        <v>7.4968000000000004</v>
      </c>
      <c r="AA17" s="71">
        <v>7.2797999999999998</v>
      </c>
      <c r="AB17" s="71">
        <v>7.0564</v>
      </c>
      <c r="AC17" s="71">
        <v>6.8265000000000002</v>
      </c>
    </row>
    <row r="18" spans="2:29">
      <c r="B18" s="69">
        <v>0.1</v>
      </c>
      <c r="C18" s="71">
        <v>1.9046000000000001</v>
      </c>
      <c r="D18" s="71">
        <v>2.0975000000000001</v>
      </c>
      <c r="E18" s="71">
        <v>2.3100999999999998</v>
      </c>
      <c r="F18" s="71">
        <v>2.5447000000000002</v>
      </c>
      <c r="G18" s="71">
        <v>2.8035999999999999</v>
      </c>
      <c r="H18" s="71">
        <v>3.0893999999999999</v>
      </c>
      <c r="I18" s="71">
        <v>3.4056000000000002</v>
      </c>
      <c r="J18" s="71">
        <v>3.7559</v>
      </c>
      <c r="K18" s="71">
        <v>4.1440000000000001</v>
      </c>
      <c r="L18" s="71">
        <v>4.5740999999999996</v>
      </c>
      <c r="M18" s="71">
        <v>5.0511999999999997</v>
      </c>
      <c r="N18" s="71">
        <v>5.5811999999999999</v>
      </c>
      <c r="O18" s="71">
        <v>6.1712999999999996</v>
      </c>
      <c r="P18" s="71">
        <v>6.8292000000000002</v>
      </c>
      <c r="Q18" s="71">
        <v>7.5647000000000002</v>
      </c>
      <c r="R18" s="71">
        <v>8.3871000000000002</v>
      </c>
      <c r="S18" s="71">
        <v>8.2489000000000008</v>
      </c>
      <c r="T18" s="71">
        <v>8.1068999999999996</v>
      </c>
      <c r="U18" s="71">
        <v>7.9588999999999999</v>
      </c>
      <c r="V18" s="71">
        <v>7.8033000000000001</v>
      </c>
      <c r="W18" s="71">
        <v>7.641</v>
      </c>
      <c r="X18" s="71">
        <v>7.4701000000000004</v>
      </c>
      <c r="Y18" s="71">
        <v>7.2908999999999997</v>
      </c>
      <c r="Z18" s="71">
        <v>7.1048999999999998</v>
      </c>
      <c r="AA18" s="71">
        <v>6.9108000000000001</v>
      </c>
      <c r="AB18" s="71">
        <v>6.71</v>
      </c>
      <c r="AC18" s="71">
        <v>6.5025000000000004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Hardcastle</dc:creator>
  <cp:lastModifiedBy>Peter Hardcastle</cp:lastModifiedBy>
  <dcterms:created xsi:type="dcterms:W3CDTF">2015-10-08T20:42:45Z</dcterms:created>
  <dcterms:modified xsi:type="dcterms:W3CDTF">2016-10-28T12:50:17Z</dcterms:modified>
</cp:coreProperties>
</file>